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kovacikova\Documents\Rok 2026\2. úprava rozpočtu 2026\Úprava rozpočtu na zverejnenie\"/>
    </mc:Choice>
  </mc:AlternateContent>
  <xr:revisionPtr revIDLastSave="0" documentId="13_ncr:1_{F5F53CC7-1839-4ABE-8A25-AC6D31AFBEE1}" xr6:coauthVersionLast="47" xr6:coauthVersionMax="47" xr10:uidLastSave="{00000000-0000-0000-0000-000000000000}"/>
  <bookViews>
    <workbookView xWindow="28680" yWindow="-120" windowWidth="29040" windowHeight="15720" tabRatio="638" activeTab="8" xr2:uid="{00000000-000D-0000-FFFF-FFFF00000000}"/>
  </bookViews>
  <sheets>
    <sheet name="príjmy " sheetId="5" r:id="rId1"/>
    <sheet name="výdavky " sheetId="6" r:id="rId2"/>
    <sheet name="pomocná tabuľka - príjmy 2013" sheetId="1" state="hidden" r:id="rId3"/>
    <sheet name="pomocná tabuľka - výdavky 2013" sheetId="2" state="hidden" r:id="rId4"/>
    <sheet name="pomocná tabuľka - sumár 2013" sheetId="3" state="hidden" r:id="rId5"/>
    <sheet name="sumár " sheetId="7" r:id="rId6"/>
    <sheet name="investície" sheetId="12" r:id="rId7"/>
    <sheet name="Rozpočet celkový" sheetId="13" r:id="rId8"/>
    <sheet name="zdroje financovania" sheetId="15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Print_Titles" localSheetId="2">'pomocná tabuľka - príjmy 2013'!$2:$2</definedName>
    <definedName name="_xlnm.Print_Titles" localSheetId="3">'pomocná tabuľka - výdavky 2013'!$5:$7</definedName>
    <definedName name="_xlnm.Print_Titles" localSheetId="0">'príjmy '!$2:$3</definedName>
    <definedName name="_xlnm.Print_Titles" localSheetId="1">'výdavky 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0" i="7" l="1"/>
  <c r="H29" i="7"/>
  <c r="G30" i="7"/>
  <c r="G29" i="7"/>
  <c r="F30" i="7"/>
  <c r="F29" i="7"/>
  <c r="E30" i="7"/>
  <c r="E29" i="7"/>
  <c r="D30" i="7"/>
  <c r="D29" i="7"/>
  <c r="C30" i="7"/>
  <c r="C29" i="7"/>
  <c r="B30" i="7"/>
  <c r="B29" i="7"/>
  <c r="H129" i="5"/>
  <c r="G32" i="12"/>
  <c r="V58" i="13" l="1"/>
  <c r="Q58" i="13"/>
  <c r="F38" i="12"/>
  <c r="G31" i="12"/>
  <c r="P58" i="13" l="1"/>
  <c r="W58" i="13"/>
  <c r="E15" i="13"/>
  <c r="E10" i="13"/>
  <c r="E38" i="13"/>
  <c r="E52" i="13"/>
  <c r="G4" i="12" l="1"/>
  <c r="S58" i="13"/>
  <c r="G55" i="13"/>
  <c r="F55" i="13"/>
  <c r="F56" i="13"/>
  <c r="G91" i="5" l="1"/>
  <c r="G16" i="13"/>
  <c r="E11" i="13"/>
  <c r="M52" i="13" l="1"/>
  <c r="L11" i="13"/>
  <c r="M51" i="13"/>
  <c r="N51" i="13"/>
  <c r="G15" i="13"/>
  <c r="E24" i="13" l="1"/>
  <c r="E23" i="13"/>
  <c r="E22" i="13"/>
  <c r="E21" i="13"/>
  <c r="E20" i="13"/>
  <c r="E19" i="13"/>
  <c r="E16" i="13"/>
  <c r="E14" i="13"/>
  <c r="E12" i="13"/>
  <c r="E48" i="13"/>
  <c r="E47" i="13"/>
  <c r="J52" i="13"/>
  <c r="I52" i="13"/>
  <c r="I22" i="13"/>
  <c r="G20" i="13"/>
  <c r="S20" i="13"/>
  <c r="G22" i="13"/>
  <c r="F27" i="13"/>
  <c r="F23" i="13"/>
  <c r="D23" i="13"/>
  <c r="M22" i="13"/>
  <c r="D22" i="13"/>
  <c r="F22" i="13"/>
  <c r="S183" i="6" l="1"/>
  <c r="S182" i="6"/>
  <c r="S181" i="6"/>
  <c r="S179" i="6"/>
  <c r="S178" i="6"/>
  <c r="S177" i="6"/>
  <c r="S176" i="6"/>
  <c r="S175" i="6"/>
  <c r="S174" i="6" s="1"/>
  <c r="S173" i="6"/>
  <c r="S172" i="6"/>
  <c r="S171" i="6"/>
  <c r="S170" i="6"/>
  <c r="S169" i="6"/>
  <c r="S167" i="6"/>
  <c r="S166" i="6"/>
  <c r="S165" i="6"/>
  <c r="S164" i="6"/>
  <c r="S162" i="6"/>
  <c r="S161" i="6"/>
  <c r="S160" i="6"/>
  <c r="S159" i="6"/>
  <c r="S158" i="6"/>
  <c r="S156" i="6"/>
  <c r="S155" i="6"/>
  <c r="S154" i="6"/>
  <c r="S151" i="6"/>
  <c r="S150" i="6"/>
  <c r="S149" i="6"/>
  <c r="S148" i="6"/>
  <c r="S147" i="6"/>
  <c r="S146" i="6"/>
  <c r="S145" i="6"/>
  <c r="S144" i="6"/>
  <c r="S143" i="6"/>
  <c r="S142" i="6"/>
  <c r="S139" i="6"/>
  <c r="S138" i="6"/>
  <c r="S137" i="6"/>
  <c r="S136" i="6"/>
  <c r="S135" i="6"/>
  <c r="S134" i="6"/>
  <c r="S132" i="6"/>
  <c r="S130" i="6"/>
  <c r="S129" i="6"/>
  <c r="S128" i="6"/>
  <c r="S127" i="6"/>
  <c r="S126" i="6"/>
  <c r="S125" i="6"/>
  <c r="S124" i="6"/>
  <c r="S123" i="6"/>
  <c r="S121" i="6"/>
  <c r="S119" i="6"/>
  <c r="S118" i="6"/>
  <c r="S117" i="6"/>
  <c r="S116" i="6"/>
  <c r="S115" i="6"/>
  <c r="S114" i="6"/>
  <c r="S112" i="6"/>
  <c r="S111" i="6"/>
  <c r="S110" i="6"/>
  <c r="S109" i="6"/>
  <c r="S108" i="6"/>
  <c r="S107" i="6"/>
  <c r="S105" i="6"/>
  <c r="S104" i="6"/>
  <c r="S103" i="6"/>
  <c r="S102" i="6"/>
  <c r="S101" i="6"/>
  <c r="S100" i="6"/>
  <c r="S99" i="6"/>
  <c r="S98" i="6"/>
  <c r="S96" i="6"/>
  <c r="S94" i="6"/>
  <c r="S93" i="6" s="1"/>
  <c r="S92" i="6"/>
  <c r="S90" i="6"/>
  <c r="S89" i="6"/>
  <c r="S87" i="6"/>
  <c r="S86" i="6"/>
  <c r="S84" i="6"/>
  <c r="S83" i="6"/>
  <c r="S82" i="6"/>
  <c r="S81" i="6"/>
  <c r="S80" i="6"/>
  <c r="S79" i="6"/>
  <c r="S78" i="6"/>
  <c r="S75" i="6"/>
  <c r="S74" i="6"/>
  <c r="S73" i="6"/>
  <c r="S71" i="6"/>
  <c r="S70" i="6"/>
  <c r="S67" i="6"/>
  <c r="S66" i="6"/>
  <c r="S64" i="6"/>
  <c r="S63" i="6"/>
  <c r="S62" i="6"/>
  <c r="S61" i="6"/>
  <c r="S59" i="6"/>
  <c r="S58" i="6"/>
  <c r="S57" i="6"/>
  <c r="S56" i="6"/>
  <c r="S55" i="6"/>
  <c r="S54" i="6"/>
  <c r="S51" i="6"/>
  <c r="S50" i="6"/>
  <c r="S49" i="6"/>
  <c r="S47" i="6"/>
  <c r="S45" i="6"/>
  <c r="S44" i="6"/>
  <c r="S43" i="6"/>
  <c r="S42" i="6"/>
  <c r="S41" i="6"/>
  <c r="S40" i="6"/>
  <c r="S38" i="6"/>
  <c r="S37" i="6"/>
  <c r="S35" i="6"/>
  <c r="S34" i="6"/>
  <c r="S33" i="6"/>
  <c r="S31" i="6"/>
  <c r="S30" i="6"/>
  <c r="S29" i="6"/>
  <c r="S28" i="6"/>
  <c r="S27" i="6"/>
  <c r="S26" i="6"/>
  <c r="S25" i="6"/>
  <c r="S24" i="6"/>
  <c r="S21" i="6"/>
  <c r="S20" i="6"/>
  <c r="S19" i="6"/>
  <c r="S18" i="6"/>
  <c r="S17" i="6"/>
  <c r="S16" i="6"/>
  <c r="S15" i="6"/>
  <c r="S13" i="6"/>
  <c r="S12" i="6"/>
  <c r="S11" i="6"/>
  <c r="S10" i="6"/>
  <c r="R183" i="6"/>
  <c r="R182" i="6"/>
  <c r="R181" i="6"/>
  <c r="R179" i="6"/>
  <c r="R178" i="6"/>
  <c r="R177" i="6"/>
  <c r="R176" i="6"/>
  <c r="R175" i="6"/>
  <c r="R174" i="6" s="1"/>
  <c r="R173" i="6"/>
  <c r="R172" i="6"/>
  <c r="R171" i="6"/>
  <c r="R170" i="6"/>
  <c r="R169" i="6"/>
  <c r="R167" i="6"/>
  <c r="R166" i="6"/>
  <c r="R165" i="6"/>
  <c r="R164" i="6"/>
  <c r="R162" i="6"/>
  <c r="R161" i="6"/>
  <c r="R160" i="6"/>
  <c r="R159" i="6"/>
  <c r="R158" i="6"/>
  <c r="R156" i="6"/>
  <c r="R155" i="6"/>
  <c r="R154" i="6"/>
  <c r="R151" i="6"/>
  <c r="R150" i="6"/>
  <c r="R149" i="6"/>
  <c r="R148" i="6"/>
  <c r="R147" i="6"/>
  <c r="R146" i="6"/>
  <c r="R145" i="6"/>
  <c r="R144" i="6"/>
  <c r="R143" i="6"/>
  <c r="R142" i="6"/>
  <c r="R139" i="6"/>
  <c r="R138" i="6"/>
  <c r="R137" i="6"/>
  <c r="R136" i="6"/>
  <c r="R135" i="6"/>
  <c r="R134" i="6"/>
  <c r="R132" i="6"/>
  <c r="R130" i="6"/>
  <c r="R129" i="6"/>
  <c r="R128" i="6"/>
  <c r="R127" i="6"/>
  <c r="R126" i="6"/>
  <c r="R125" i="6"/>
  <c r="R124" i="6"/>
  <c r="R123" i="6"/>
  <c r="R121" i="6"/>
  <c r="R119" i="6"/>
  <c r="R118" i="6"/>
  <c r="R117" i="6"/>
  <c r="R116" i="6"/>
  <c r="R115" i="6"/>
  <c r="R114" i="6"/>
  <c r="R112" i="6"/>
  <c r="R111" i="6"/>
  <c r="R110" i="6"/>
  <c r="R109" i="6"/>
  <c r="R108" i="6"/>
  <c r="R107" i="6"/>
  <c r="R105" i="6"/>
  <c r="R104" i="6"/>
  <c r="R103" i="6"/>
  <c r="R102" i="6"/>
  <c r="R101" i="6"/>
  <c r="R100" i="6"/>
  <c r="R99" i="6"/>
  <c r="R98" i="6"/>
  <c r="R96" i="6"/>
  <c r="R94" i="6"/>
  <c r="R93" i="6" s="1"/>
  <c r="R92" i="6"/>
  <c r="R90" i="6"/>
  <c r="R89" i="6"/>
  <c r="R87" i="6"/>
  <c r="R86" i="6"/>
  <c r="R84" i="6"/>
  <c r="R83" i="6"/>
  <c r="R82" i="6"/>
  <c r="R81" i="6"/>
  <c r="R80" i="6"/>
  <c r="R79" i="6"/>
  <c r="R78" i="6"/>
  <c r="R75" i="6"/>
  <c r="R74" i="6"/>
  <c r="R73" i="6"/>
  <c r="R71" i="6"/>
  <c r="R70" i="6"/>
  <c r="R67" i="6"/>
  <c r="R66" i="6"/>
  <c r="R64" i="6"/>
  <c r="R63" i="6"/>
  <c r="R62" i="6"/>
  <c r="R61" i="6"/>
  <c r="R59" i="6"/>
  <c r="R58" i="6"/>
  <c r="R57" i="6"/>
  <c r="R56" i="6"/>
  <c r="R55" i="6"/>
  <c r="R54" i="6"/>
  <c r="R51" i="6"/>
  <c r="R50" i="6"/>
  <c r="R49" i="6"/>
  <c r="R47" i="6"/>
  <c r="R45" i="6"/>
  <c r="R44" i="6"/>
  <c r="R43" i="6"/>
  <c r="R42" i="6"/>
  <c r="R41" i="6"/>
  <c r="R40" i="6"/>
  <c r="R38" i="6"/>
  <c r="R37" i="6"/>
  <c r="R35" i="6"/>
  <c r="R34" i="6"/>
  <c r="R33" i="6"/>
  <c r="R31" i="6"/>
  <c r="R30" i="6"/>
  <c r="R29" i="6"/>
  <c r="R28" i="6"/>
  <c r="R27" i="6"/>
  <c r="R26" i="6"/>
  <c r="R25" i="6"/>
  <c r="R24" i="6"/>
  <c r="R21" i="6"/>
  <c r="R20" i="6"/>
  <c r="R19" i="6"/>
  <c r="R18" i="6"/>
  <c r="R17" i="6"/>
  <c r="R16" i="6"/>
  <c r="R15" i="6"/>
  <c r="R13" i="6"/>
  <c r="R12" i="6"/>
  <c r="R11" i="6"/>
  <c r="R10" i="6"/>
  <c r="Q183" i="6"/>
  <c r="Q182" i="6"/>
  <c r="Q181" i="6"/>
  <c r="Q179" i="6"/>
  <c r="Q178" i="6"/>
  <c r="Q177" i="6"/>
  <c r="Q176" i="6"/>
  <c r="Q175" i="6"/>
  <c r="Q174" i="6" s="1"/>
  <c r="Q173" i="6"/>
  <c r="Q172" i="6"/>
  <c r="Q171" i="6"/>
  <c r="Q170" i="6"/>
  <c r="Q169" i="6"/>
  <c r="Q167" i="6"/>
  <c r="Q166" i="6"/>
  <c r="Q165" i="6"/>
  <c r="Q164" i="6"/>
  <c r="Q162" i="6"/>
  <c r="Q161" i="6"/>
  <c r="Q160" i="6"/>
  <c r="Q159" i="6"/>
  <c r="Q158" i="6"/>
  <c r="Q156" i="6"/>
  <c r="Q155" i="6"/>
  <c r="Q154" i="6"/>
  <c r="Q151" i="6"/>
  <c r="Q150" i="6"/>
  <c r="Q149" i="6"/>
  <c r="Q148" i="6"/>
  <c r="Q147" i="6"/>
  <c r="Q146" i="6"/>
  <c r="Q145" i="6"/>
  <c r="Q144" i="6"/>
  <c r="Q143" i="6"/>
  <c r="Q142" i="6"/>
  <c r="Q139" i="6"/>
  <c r="Q138" i="6"/>
  <c r="Q137" i="6"/>
  <c r="Q136" i="6"/>
  <c r="Q135" i="6"/>
  <c r="Q134" i="6"/>
  <c r="Q132" i="6"/>
  <c r="Q130" i="6"/>
  <c r="Q129" i="6"/>
  <c r="Q128" i="6"/>
  <c r="Q127" i="6"/>
  <c r="Q126" i="6"/>
  <c r="Q125" i="6"/>
  <c r="Q124" i="6"/>
  <c r="Q123" i="6"/>
  <c r="Q121" i="6"/>
  <c r="Q119" i="6"/>
  <c r="Q118" i="6"/>
  <c r="Q117" i="6"/>
  <c r="Q116" i="6"/>
  <c r="Q115" i="6"/>
  <c r="Q114" i="6"/>
  <c r="Q112" i="6"/>
  <c r="Q111" i="6"/>
  <c r="Q110" i="6"/>
  <c r="Q109" i="6"/>
  <c r="Q108" i="6"/>
  <c r="Q107" i="6"/>
  <c r="Q105" i="6"/>
  <c r="Q104" i="6"/>
  <c r="Q103" i="6"/>
  <c r="Q102" i="6"/>
  <c r="Q101" i="6"/>
  <c r="Q100" i="6"/>
  <c r="Q99" i="6"/>
  <c r="Q98" i="6"/>
  <c r="Q96" i="6"/>
  <c r="Q94" i="6"/>
  <c r="Q93" i="6" s="1"/>
  <c r="Q92" i="6"/>
  <c r="Q90" i="6"/>
  <c r="Q89" i="6"/>
  <c r="Q87" i="6"/>
  <c r="Q86" i="6"/>
  <c r="Q84" i="6"/>
  <c r="Q83" i="6"/>
  <c r="Q82" i="6"/>
  <c r="Q81" i="6"/>
  <c r="Q80" i="6"/>
  <c r="Q79" i="6"/>
  <c r="Q78" i="6"/>
  <c r="Q75" i="6"/>
  <c r="Q74" i="6"/>
  <c r="Q73" i="6"/>
  <c r="Q71" i="6"/>
  <c r="Q70" i="6"/>
  <c r="Q67" i="6"/>
  <c r="Q66" i="6"/>
  <c r="Q64" i="6"/>
  <c r="Q63" i="6"/>
  <c r="Q62" i="6"/>
  <c r="Q61" i="6"/>
  <c r="Q59" i="6"/>
  <c r="Q58" i="6"/>
  <c r="Q57" i="6"/>
  <c r="Q56" i="6"/>
  <c r="Q55" i="6"/>
  <c r="Q54" i="6"/>
  <c r="Q51" i="6"/>
  <c r="Q50" i="6"/>
  <c r="Q49" i="6"/>
  <c r="Q47" i="6"/>
  <c r="Q45" i="6"/>
  <c r="Q44" i="6"/>
  <c r="Q43" i="6"/>
  <c r="Q42" i="6"/>
  <c r="Q41" i="6"/>
  <c r="Q40" i="6"/>
  <c r="Q38" i="6"/>
  <c r="Q37" i="6"/>
  <c r="Q35" i="6"/>
  <c r="Q34" i="6"/>
  <c r="Q33" i="6"/>
  <c r="Q31" i="6"/>
  <c r="Q30" i="6"/>
  <c r="Q29" i="6"/>
  <c r="Q28" i="6"/>
  <c r="Q27" i="6"/>
  <c r="Q26" i="6"/>
  <c r="Q25" i="6"/>
  <c r="Q24" i="6"/>
  <c r="Q21" i="6"/>
  <c r="Q20" i="6"/>
  <c r="Q19" i="6"/>
  <c r="Q18" i="6"/>
  <c r="Q17" i="6"/>
  <c r="Q16" i="6"/>
  <c r="Q15" i="6"/>
  <c r="Q13" i="6"/>
  <c r="Q12" i="6"/>
  <c r="Q11" i="6"/>
  <c r="Q10" i="6"/>
  <c r="P71" i="6" l="1"/>
  <c r="Q69" i="6"/>
  <c r="S85" i="6"/>
  <c r="S180" i="6"/>
  <c r="R85" i="6"/>
  <c r="P183" i="6"/>
  <c r="R14" i="6"/>
  <c r="S72" i="6"/>
  <c r="Q85" i="6"/>
  <c r="P43" i="6"/>
  <c r="S32" i="6"/>
  <c r="P119" i="6"/>
  <c r="S65" i="6"/>
  <c r="Q9" i="6"/>
  <c r="P115" i="6"/>
  <c r="P160" i="6"/>
  <c r="Q180" i="6"/>
  <c r="P172" i="6"/>
  <c r="P159" i="6"/>
  <c r="P105" i="6"/>
  <c r="P11" i="6"/>
  <c r="P84" i="6"/>
  <c r="Q72" i="6"/>
  <c r="P124" i="6"/>
  <c r="P104" i="6"/>
  <c r="P164" i="6"/>
  <c r="P176" i="6"/>
  <c r="P181" i="6"/>
  <c r="P13" i="6"/>
  <c r="P182" i="6"/>
  <c r="P179" i="6"/>
  <c r="P175" i="6"/>
  <c r="P174" i="6" s="1"/>
  <c r="P173" i="6"/>
  <c r="P171" i="6"/>
  <c r="S168" i="6"/>
  <c r="P166" i="6"/>
  <c r="S163" i="6"/>
  <c r="S157" i="6"/>
  <c r="S153" i="6"/>
  <c r="P150" i="6"/>
  <c r="P148" i="6"/>
  <c r="P146" i="6"/>
  <c r="P145" i="6"/>
  <c r="S141" i="6"/>
  <c r="S140" i="6" s="1"/>
  <c r="P139" i="6"/>
  <c r="P138" i="6"/>
  <c r="P137" i="6"/>
  <c r="S133" i="6"/>
  <c r="S131" i="6" s="1"/>
  <c r="P130" i="6"/>
  <c r="S122" i="6"/>
  <c r="S120" i="6" s="1"/>
  <c r="P127" i="6"/>
  <c r="P126" i="6"/>
  <c r="P125" i="6"/>
  <c r="P117" i="6"/>
  <c r="S113" i="6"/>
  <c r="S106" i="6"/>
  <c r="P108" i="6"/>
  <c r="P107" i="6"/>
  <c r="P102" i="6"/>
  <c r="S97" i="6"/>
  <c r="P92" i="6"/>
  <c r="S91" i="6"/>
  <c r="S88" i="6"/>
  <c r="P90" i="6"/>
  <c r="P81" i="6"/>
  <c r="P79" i="6"/>
  <c r="S77" i="6"/>
  <c r="P78" i="6"/>
  <c r="P75" i="6"/>
  <c r="S69" i="6"/>
  <c r="S60" i="6"/>
  <c r="P59" i="6"/>
  <c r="P55" i="6"/>
  <c r="S53" i="6"/>
  <c r="P51" i="6"/>
  <c r="P50" i="6"/>
  <c r="S48" i="6"/>
  <c r="S46" i="6" s="1"/>
  <c r="P47" i="6"/>
  <c r="P45" i="6"/>
  <c r="P44" i="6"/>
  <c r="P42" i="6"/>
  <c r="P41" i="6"/>
  <c r="S39" i="6"/>
  <c r="S36" i="6" s="1"/>
  <c r="P34" i="6"/>
  <c r="P30" i="6"/>
  <c r="S23" i="6"/>
  <c r="P19" i="6"/>
  <c r="P18" i="6"/>
  <c r="S14" i="6"/>
  <c r="S9" i="6"/>
  <c r="R180" i="6"/>
  <c r="P178" i="6"/>
  <c r="P177" i="6"/>
  <c r="R168" i="6"/>
  <c r="P170" i="6"/>
  <c r="P169" i="6"/>
  <c r="P167" i="6"/>
  <c r="R163" i="6"/>
  <c r="P162" i="6"/>
  <c r="P161" i="6"/>
  <c r="R157" i="6"/>
  <c r="P158" i="6"/>
  <c r="P156" i="6"/>
  <c r="R153" i="6"/>
  <c r="P155" i="6"/>
  <c r="P154" i="6"/>
  <c r="P151" i="6"/>
  <c r="P149" i="6"/>
  <c r="P147" i="6"/>
  <c r="P144" i="6"/>
  <c r="P143" i="6"/>
  <c r="R141" i="6"/>
  <c r="R140" i="6" s="1"/>
  <c r="P136" i="6"/>
  <c r="R133" i="6"/>
  <c r="R131" i="6" s="1"/>
  <c r="P135" i="6"/>
  <c r="P132" i="6"/>
  <c r="P129" i="6"/>
  <c r="P128" i="6"/>
  <c r="R122" i="6"/>
  <c r="R120" i="6" s="1"/>
  <c r="P123" i="6"/>
  <c r="P121" i="6"/>
  <c r="P118" i="6"/>
  <c r="P116" i="6"/>
  <c r="R113" i="6"/>
  <c r="P114" i="6"/>
  <c r="P112" i="6"/>
  <c r="P111" i="6"/>
  <c r="P110" i="6"/>
  <c r="P109" i="6"/>
  <c r="R106" i="6"/>
  <c r="P103" i="6"/>
  <c r="P101" i="6"/>
  <c r="P100" i="6"/>
  <c r="R97" i="6"/>
  <c r="P99" i="6"/>
  <c r="P98" i="6"/>
  <c r="P96" i="6"/>
  <c r="R91" i="6"/>
  <c r="R88" i="6"/>
  <c r="P86" i="6"/>
  <c r="P83" i="6"/>
  <c r="P82" i="6"/>
  <c r="P80" i="6"/>
  <c r="R77" i="6"/>
  <c r="R72" i="6"/>
  <c r="P73" i="6"/>
  <c r="R69" i="6"/>
  <c r="P70" i="6"/>
  <c r="P67" i="6"/>
  <c r="R65" i="6"/>
  <c r="P66" i="6"/>
  <c r="P64" i="6"/>
  <c r="P63" i="6"/>
  <c r="R60" i="6"/>
  <c r="P62" i="6"/>
  <c r="P61" i="6"/>
  <c r="P58" i="6"/>
  <c r="P57" i="6"/>
  <c r="P56" i="6"/>
  <c r="R53" i="6"/>
  <c r="P54" i="6"/>
  <c r="R48" i="6"/>
  <c r="R46" i="6" s="1"/>
  <c r="P49" i="6"/>
  <c r="R39" i="6"/>
  <c r="R36" i="6" s="1"/>
  <c r="P38" i="6"/>
  <c r="P35" i="6"/>
  <c r="R32" i="6"/>
  <c r="P31" i="6"/>
  <c r="P29" i="6"/>
  <c r="P28" i="6"/>
  <c r="P27" i="6"/>
  <c r="P26" i="6"/>
  <c r="P25" i="6"/>
  <c r="R23" i="6"/>
  <c r="P24" i="6"/>
  <c r="P21" i="6"/>
  <c r="P20" i="6"/>
  <c r="P17" i="6"/>
  <c r="P16" i="6"/>
  <c r="P15" i="6"/>
  <c r="P12" i="6"/>
  <c r="R9" i="6"/>
  <c r="Q168" i="6"/>
  <c r="Q163" i="6"/>
  <c r="P165" i="6"/>
  <c r="Q157" i="6"/>
  <c r="Q153" i="6"/>
  <c r="Q141" i="6"/>
  <c r="Q140" i="6" s="1"/>
  <c r="P142" i="6"/>
  <c r="Q133" i="6"/>
  <c r="Q131" i="6" s="1"/>
  <c r="P134" i="6"/>
  <c r="Q113" i="6"/>
  <c r="Q106" i="6"/>
  <c r="Q97" i="6"/>
  <c r="P94" i="6"/>
  <c r="P93" i="6" s="1"/>
  <c r="Q91" i="6"/>
  <c r="Q88" i="6"/>
  <c r="P89" i="6"/>
  <c r="P87" i="6"/>
  <c r="P74" i="6"/>
  <c r="Q60" i="6"/>
  <c r="Q48" i="6"/>
  <c r="Q46" i="6" s="1"/>
  <c r="Q39" i="6"/>
  <c r="Q36" i="6" s="1"/>
  <c r="P40" i="6"/>
  <c r="P37" i="6"/>
  <c r="Q32" i="6"/>
  <c r="P33" i="6"/>
  <c r="Q23" i="6"/>
  <c r="P10" i="6"/>
  <c r="Q53" i="6"/>
  <c r="Q65" i="6"/>
  <c r="Q77" i="6"/>
  <c r="Q122" i="6"/>
  <c r="Q120" i="6" s="1"/>
  <c r="Q14" i="6"/>
  <c r="P69" i="6" l="1"/>
  <c r="R22" i="6"/>
  <c r="Q68" i="6"/>
  <c r="Q8" i="6"/>
  <c r="S22" i="6"/>
  <c r="S68" i="6"/>
  <c r="P32" i="6"/>
  <c r="P48" i="6"/>
  <c r="P46" i="6" s="1"/>
  <c r="P180" i="6"/>
  <c r="R8" i="6"/>
  <c r="S8" i="6"/>
  <c r="P113" i="6"/>
  <c r="Q76" i="6"/>
  <c r="R68" i="6"/>
  <c r="P168" i="6"/>
  <c r="S152" i="6"/>
  <c r="S95" i="6"/>
  <c r="P91" i="6"/>
  <c r="S76" i="6"/>
  <c r="P88" i="6"/>
  <c r="P72" i="6"/>
  <c r="P68" i="6" s="1"/>
  <c r="S52" i="6"/>
  <c r="P39" i="6"/>
  <c r="P36" i="6" s="1"/>
  <c r="P9" i="6"/>
  <c r="P163" i="6"/>
  <c r="R152" i="6"/>
  <c r="P157" i="6"/>
  <c r="P153" i="6"/>
  <c r="P141" i="6"/>
  <c r="P140" i="6" s="1"/>
  <c r="P133" i="6"/>
  <c r="P131" i="6" s="1"/>
  <c r="P122" i="6"/>
  <c r="P120" i="6" s="1"/>
  <c r="P106" i="6"/>
  <c r="R95" i="6"/>
  <c r="P97" i="6"/>
  <c r="R76" i="6"/>
  <c r="P85" i="6"/>
  <c r="P77" i="6"/>
  <c r="P65" i="6"/>
  <c r="R52" i="6"/>
  <c r="P60" i="6"/>
  <c r="P53" i="6"/>
  <c r="P23" i="6"/>
  <c r="P14" i="6"/>
  <c r="Q152" i="6"/>
  <c r="Q95" i="6"/>
  <c r="Q22" i="6"/>
  <c r="Q52" i="6"/>
  <c r="P22" i="6" l="1"/>
  <c r="S6" i="6"/>
  <c r="P8" i="6"/>
  <c r="P152" i="6"/>
  <c r="R6" i="6"/>
  <c r="P95" i="6"/>
  <c r="P76" i="6"/>
  <c r="P52" i="6"/>
  <c r="Q6" i="6"/>
  <c r="P6" i="6" l="1"/>
  <c r="G35" i="12" l="1"/>
  <c r="C6" i="15"/>
  <c r="H92" i="5"/>
  <c r="H100" i="5"/>
  <c r="H16" i="15"/>
  <c r="I30" i="15" l="1"/>
  <c r="D26" i="12"/>
  <c r="D36" i="12"/>
  <c r="H98" i="5"/>
  <c r="H99" i="5" l="1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3" i="12"/>
  <c r="G34" i="12"/>
  <c r="G36" i="12"/>
  <c r="G37" i="12"/>
  <c r="G3" i="12"/>
  <c r="T18" i="13"/>
  <c r="G52" i="13"/>
  <c r="K14" i="13"/>
  <c r="P14" i="13"/>
  <c r="F14" i="13"/>
  <c r="F52" i="13"/>
  <c r="M15" i="13"/>
  <c r="H19" i="15"/>
  <c r="D38" i="12"/>
  <c r="AE183" i="6"/>
  <c r="AE182" i="6"/>
  <c r="AE181" i="6"/>
  <c r="AE179" i="6"/>
  <c r="AE178" i="6"/>
  <c r="AE177" i="6"/>
  <c r="AE176" i="6"/>
  <c r="AE175" i="6"/>
  <c r="AE174" i="6" s="1"/>
  <c r="AE173" i="6"/>
  <c r="AE172" i="6"/>
  <c r="AE171" i="6"/>
  <c r="AE170" i="6"/>
  <c r="AE169" i="6"/>
  <c r="AE167" i="6"/>
  <c r="AE166" i="6"/>
  <c r="AE165" i="6"/>
  <c r="AE164" i="6"/>
  <c r="AE162" i="6"/>
  <c r="AE161" i="6"/>
  <c r="AE160" i="6"/>
  <c r="AE159" i="6"/>
  <c r="AE158" i="6"/>
  <c r="AE156" i="6"/>
  <c r="AE155" i="6"/>
  <c r="AE154" i="6"/>
  <c r="AE151" i="6"/>
  <c r="AE150" i="6"/>
  <c r="AE149" i="6"/>
  <c r="AE148" i="6"/>
  <c r="AE147" i="6"/>
  <c r="AE146" i="6"/>
  <c r="AE145" i="6"/>
  <c r="AE144" i="6"/>
  <c r="AE143" i="6"/>
  <c r="AE142" i="6"/>
  <c r="AE139" i="6"/>
  <c r="AE138" i="6"/>
  <c r="AE137" i="6"/>
  <c r="AE136" i="6"/>
  <c r="AE135" i="6"/>
  <c r="AE134" i="6"/>
  <c r="AE132" i="6"/>
  <c r="AE130" i="6"/>
  <c r="AE129" i="6"/>
  <c r="AE128" i="6"/>
  <c r="AE127" i="6"/>
  <c r="AE126" i="6"/>
  <c r="AE125" i="6"/>
  <c r="AE124" i="6"/>
  <c r="AE123" i="6"/>
  <c r="AE121" i="6"/>
  <c r="AE119" i="6"/>
  <c r="AE118" i="6"/>
  <c r="AE117" i="6"/>
  <c r="AE116" i="6"/>
  <c r="AE115" i="6"/>
  <c r="AE114" i="6"/>
  <c r="AE112" i="6"/>
  <c r="AE111" i="6"/>
  <c r="AE110" i="6"/>
  <c r="AE109" i="6"/>
  <c r="AE108" i="6"/>
  <c r="AE107" i="6"/>
  <c r="AE105" i="6"/>
  <c r="AE104" i="6"/>
  <c r="AE103" i="6"/>
  <c r="AE102" i="6"/>
  <c r="AE101" i="6"/>
  <c r="AE100" i="6"/>
  <c r="AE99" i="6"/>
  <c r="AE98" i="6"/>
  <c r="AE96" i="6"/>
  <c r="AE94" i="6"/>
  <c r="AE93" i="6" s="1"/>
  <c r="AE92" i="6"/>
  <c r="AE90" i="6"/>
  <c r="AE89" i="6"/>
  <c r="AE87" i="6"/>
  <c r="AE86" i="6"/>
  <c r="AE84" i="6"/>
  <c r="AE83" i="6"/>
  <c r="AE82" i="6"/>
  <c r="AE81" i="6"/>
  <c r="AE80" i="6"/>
  <c r="AE79" i="6"/>
  <c r="AE78" i="6"/>
  <c r="AE75" i="6"/>
  <c r="AE74" i="6"/>
  <c r="AE73" i="6"/>
  <c r="AE71" i="6"/>
  <c r="AE70" i="6"/>
  <c r="AE67" i="6"/>
  <c r="AE66" i="6"/>
  <c r="AE64" i="6"/>
  <c r="AE63" i="6"/>
  <c r="AE62" i="6"/>
  <c r="AE61" i="6"/>
  <c r="AE59" i="6"/>
  <c r="AE58" i="6"/>
  <c r="AE57" i="6"/>
  <c r="AE56" i="6"/>
  <c r="AE55" i="6"/>
  <c r="AE54" i="6"/>
  <c r="AE51" i="6"/>
  <c r="AE50" i="6"/>
  <c r="AE49" i="6"/>
  <c r="AE47" i="6"/>
  <c r="AE45" i="6"/>
  <c r="AE44" i="6"/>
  <c r="AE43" i="6"/>
  <c r="AE42" i="6"/>
  <c r="AE41" i="6"/>
  <c r="AE40" i="6"/>
  <c r="AE38" i="6"/>
  <c r="AE37" i="6"/>
  <c r="AE35" i="6"/>
  <c r="AE34" i="6"/>
  <c r="AE33" i="6"/>
  <c r="AE31" i="6"/>
  <c r="AE30" i="6"/>
  <c r="AE29" i="6"/>
  <c r="AE28" i="6"/>
  <c r="AE27" i="6"/>
  <c r="AE26" i="6"/>
  <c r="AE25" i="6"/>
  <c r="AE24" i="6"/>
  <c r="AE21" i="6"/>
  <c r="AE20" i="6"/>
  <c r="AE19" i="6"/>
  <c r="AE18" i="6"/>
  <c r="AE17" i="6"/>
  <c r="AE16" i="6"/>
  <c r="AE15" i="6"/>
  <c r="AE13" i="6"/>
  <c r="AE11" i="6"/>
  <c r="AE12" i="6"/>
  <c r="AE10" i="6"/>
  <c r="AD183" i="6"/>
  <c r="AD182" i="6"/>
  <c r="AD179" i="6"/>
  <c r="AD178" i="6"/>
  <c r="AD177" i="6"/>
  <c r="AD176" i="6"/>
  <c r="AD175" i="6"/>
  <c r="AD174" i="6" s="1"/>
  <c r="AD173" i="6"/>
  <c r="AD172" i="6"/>
  <c r="AD171" i="6"/>
  <c r="AD170" i="6"/>
  <c r="AD169" i="6"/>
  <c r="AD167" i="6"/>
  <c r="AD165" i="6"/>
  <c r="AD164" i="6"/>
  <c r="AD162" i="6"/>
  <c r="AD161" i="6"/>
  <c r="AD160" i="6"/>
  <c r="AD159" i="6"/>
  <c r="AD158" i="6"/>
  <c r="AD156" i="6"/>
  <c r="AD155" i="6"/>
  <c r="AD154" i="6"/>
  <c r="AD151" i="6"/>
  <c r="AD149" i="6"/>
  <c r="AD148" i="6"/>
  <c r="AD147" i="6"/>
  <c r="AD146" i="6"/>
  <c r="AD145" i="6"/>
  <c r="AD144" i="6"/>
  <c r="AD143" i="6"/>
  <c r="AD142" i="6"/>
  <c r="AD139" i="6"/>
  <c r="AD137" i="6"/>
  <c r="AD136" i="6"/>
  <c r="AD134" i="6"/>
  <c r="AD132" i="6"/>
  <c r="AD130" i="6"/>
  <c r="AD129" i="6"/>
  <c r="AD128" i="6"/>
  <c r="AD127" i="6"/>
  <c r="AD126" i="6"/>
  <c r="AD125" i="6"/>
  <c r="AD124" i="6"/>
  <c r="AD123" i="6"/>
  <c r="AD121" i="6"/>
  <c r="AD119" i="6"/>
  <c r="AD117" i="6"/>
  <c r="AD116" i="6"/>
  <c r="AD115" i="6"/>
  <c r="AD114" i="6"/>
  <c r="AD112" i="6"/>
  <c r="AD111" i="6"/>
  <c r="AD109" i="6"/>
  <c r="AD108" i="6"/>
  <c r="AD107" i="6"/>
  <c r="AD105" i="6"/>
  <c r="AD104" i="6"/>
  <c r="AD103" i="6"/>
  <c r="AD102" i="6"/>
  <c r="AD101" i="6"/>
  <c r="AD100" i="6"/>
  <c r="AD99" i="6"/>
  <c r="AD98" i="6"/>
  <c r="AD96" i="6"/>
  <c r="AD94" i="6"/>
  <c r="AD93" i="6" s="1"/>
  <c r="AD92" i="6"/>
  <c r="AD90" i="6"/>
  <c r="AD89" i="6"/>
  <c r="AD84" i="6"/>
  <c r="AD83" i="6"/>
  <c r="AD82" i="6"/>
  <c r="AD81" i="6"/>
  <c r="AD80" i="6"/>
  <c r="AD79" i="6"/>
  <c r="AD78" i="6"/>
  <c r="AD75" i="6"/>
  <c r="AD74" i="6"/>
  <c r="AD73" i="6"/>
  <c r="AD71" i="6"/>
  <c r="AD70" i="6"/>
  <c r="AD67" i="6"/>
  <c r="AD66" i="6"/>
  <c r="AD64" i="6"/>
  <c r="AD63" i="6"/>
  <c r="AD62" i="6"/>
  <c r="AD61" i="6"/>
  <c r="AD59" i="6"/>
  <c r="AD58" i="6"/>
  <c r="AD57" i="6"/>
  <c r="AD56" i="6"/>
  <c r="AD55" i="6"/>
  <c r="AD54" i="6"/>
  <c r="AD51" i="6"/>
  <c r="AD50" i="6"/>
  <c r="AD49" i="6"/>
  <c r="AD47" i="6"/>
  <c r="AD45" i="6"/>
  <c r="AD44" i="6"/>
  <c r="AD42" i="6"/>
  <c r="AD41" i="6"/>
  <c r="AD40" i="6"/>
  <c r="AD38" i="6"/>
  <c r="AD37" i="6"/>
  <c r="AD35" i="6"/>
  <c r="AD34" i="6"/>
  <c r="AD33" i="6"/>
  <c r="AD31" i="6"/>
  <c r="AD30" i="6"/>
  <c r="AD29" i="6"/>
  <c r="AD28" i="6"/>
  <c r="AD27" i="6"/>
  <c r="AD26" i="6"/>
  <c r="AD25" i="6"/>
  <c r="AD24" i="6"/>
  <c r="AD21" i="6"/>
  <c r="AD20" i="6"/>
  <c r="AD19" i="6"/>
  <c r="AD18" i="6"/>
  <c r="AD16" i="6"/>
  <c r="AD15" i="6"/>
  <c r="AD13" i="6"/>
  <c r="AD12" i="6"/>
  <c r="AD11" i="6"/>
  <c r="AD10" i="6"/>
  <c r="AC181" i="6"/>
  <c r="AC179" i="6"/>
  <c r="AC178" i="6"/>
  <c r="AC177" i="6"/>
  <c r="AC176" i="6"/>
  <c r="AC175" i="6"/>
  <c r="AC173" i="6"/>
  <c r="AC172" i="6"/>
  <c r="AC171" i="6"/>
  <c r="AC170" i="6"/>
  <c r="AC169" i="6"/>
  <c r="AC167" i="6"/>
  <c r="AC165" i="6"/>
  <c r="AC164" i="6"/>
  <c r="AC162" i="6"/>
  <c r="AC161" i="6"/>
  <c r="AC160" i="6"/>
  <c r="AC159" i="6"/>
  <c r="AC158" i="6"/>
  <c r="AC156" i="6"/>
  <c r="AC155" i="6"/>
  <c r="AC154" i="6"/>
  <c r="AC151" i="6"/>
  <c r="AC150" i="6"/>
  <c r="AC149" i="6"/>
  <c r="AC148" i="6"/>
  <c r="AC147" i="6"/>
  <c r="AC146" i="6"/>
  <c r="AC145" i="6"/>
  <c r="AC144" i="6"/>
  <c r="AC143" i="6"/>
  <c r="AC139" i="6"/>
  <c r="AC137" i="6"/>
  <c r="AC130" i="6"/>
  <c r="AC129" i="6"/>
  <c r="AC128" i="6"/>
  <c r="AC127" i="6"/>
  <c r="AC126" i="6"/>
  <c r="AC125" i="6"/>
  <c r="AC124" i="6"/>
  <c r="AC123" i="6"/>
  <c r="AC121" i="6"/>
  <c r="AC118" i="6"/>
  <c r="AC116" i="6"/>
  <c r="AC114" i="6"/>
  <c r="AC112" i="6"/>
  <c r="AC109" i="6"/>
  <c r="AC108" i="6"/>
  <c r="AC107" i="6"/>
  <c r="AC105" i="6"/>
  <c r="AC104" i="6"/>
  <c r="AC103" i="6"/>
  <c r="AC102" i="6"/>
  <c r="AC101" i="6"/>
  <c r="AC100" i="6"/>
  <c r="AC98" i="6"/>
  <c r="AC96" i="6"/>
  <c r="AC94" i="6"/>
  <c r="AC93" i="6" s="1"/>
  <c r="AC92" i="6"/>
  <c r="AC90" i="6"/>
  <c r="AC87" i="6"/>
  <c r="AC86" i="6"/>
  <c r="AC84" i="6"/>
  <c r="AC83" i="6"/>
  <c r="AC82" i="6"/>
  <c r="AC80" i="6"/>
  <c r="AC79" i="6"/>
  <c r="AC78" i="6"/>
  <c r="AC75" i="6"/>
  <c r="AC74" i="6"/>
  <c r="AC73" i="6"/>
  <c r="AC70" i="6"/>
  <c r="AC67" i="6"/>
  <c r="AC66" i="6"/>
  <c r="AC64" i="6"/>
  <c r="AC62" i="6"/>
  <c r="AC61" i="6"/>
  <c r="AC58" i="6"/>
  <c r="AC57" i="6"/>
  <c r="AC56" i="6"/>
  <c r="AC55" i="6"/>
  <c r="AC54" i="6"/>
  <c r="AC51" i="6"/>
  <c r="AC50" i="6"/>
  <c r="AC49" i="6"/>
  <c r="AC47" i="6"/>
  <c r="AC45" i="6"/>
  <c r="AC44" i="6"/>
  <c r="AC41" i="6"/>
  <c r="AC40" i="6"/>
  <c r="AC38" i="6"/>
  <c r="AC35" i="6"/>
  <c r="AC34" i="6"/>
  <c r="AC33" i="6"/>
  <c r="AC31" i="6"/>
  <c r="AC30" i="6"/>
  <c r="AC29" i="6"/>
  <c r="AC28" i="6"/>
  <c r="AC27" i="6"/>
  <c r="AC26" i="6"/>
  <c r="AC25" i="6"/>
  <c r="AC24" i="6"/>
  <c r="AC21" i="6"/>
  <c r="AC20" i="6"/>
  <c r="AC19" i="6"/>
  <c r="AC18" i="6"/>
  <c r="AC17" i="6"/>
  <c r="AC16" i="6"/>
  <c r="AC13" i="6"/>
  <c r="AC12" i="6"/>
  <c r="AC11" i="6"/>
  <c r="AC10" i="6"/>
  <c r="G38" i="12" l="1"/>
  <c r="AC72" i="6"/>
  <c r="AE32" i="6"/>
  <c r="AE65" i="6"/>
  <c r="AB66" i="6"/>
  <c r="AB145" i="6"/>
  <c r="AB103" i="6"/>
  <c r="AC168" i="6"/>
  <c r="AB127" i="6"/>
  <c r="AE69" i="6"/>
  <c r="AE85" i="6"/>
  <c r="AB151" i="6"/>
  <c r="AD88" i="6"/>
  <c r="AE180" i="6"/>
  <c r="AE168" i="6"/>
  <c r="AB30" i="6"/>
  <c r="AC157" i="6"/>
  <c r="AB82" i="6"/>
  <c r="AB102" i="6"/>
  <c r="AE72" i="6"/>
  <c r="AB179" i="6"/>
  <c r="AE163" i="6"/>
  <c r="AE157" i="6"/>
  <c r="AE153" i="6"/>
  <c r="AB148" i="6"/>
  <c r="AE141" i="6"/>
  <c r="AE140" i="6" s="1"/>
  <c r="AE133" i="6"/>
  <c r="AE131" i="6" s="1"/>
  <c r="AB129" i="6"/>
  <c r="AE122" i="6"/>
  <c r="AE120" i="6" s="1"/>
  <c r="AE113" i="6"/>
  <c r="AB114" i="6"/>
  <c r="AE97" i="6"/>
  <c r="AE88" i="6"/>
  <c r="AE60" i="6"/>
  <c r="AE53" i="6"/>
  <c r="AE48" i="6"/>
  <c r="AE46" i="6" s="1"/>
  <c r="AE39" i="6"/>
  <c r="AE36" i="6" s="1"/>
  <c r="AB31" i="6"/>
  <c r="AE23" i="6"/>
  <c r="AE14" i="6"/>
  <c r="AE9" i="6"/>
  <c r="AB175" i="6"/>
  <c r="AB174" i="6" s="1"/>
  <c r="AD168" i="6"/>
  <c r="AB169" i="6"/>
  <c r="AD157" i="6"/>
  <c r="AD153" i="6"/>
  <c r="AB33" i="6"/>
  <c r="AD32" i="6"/>
  <c r="AB147" i="6"/>
  <c r="AD141" i="6"/>
  <c r="AB139" i="6"/>
  <c r="AB130" i="6"/>
  <c r="AD122" i="6"/>
  <c r="AD120" i="6" s="1"/>
  <c r="AD113" i="6"/>
  <c r="AB112" i="6"/>
  <c r="AB105" i="6"/>
  <c r="AD97" i="6"/>
  <c r="AB84" i="6"/>
  <c r="AB83" i="6"/>
  <c r="AD77" i="6"/>
  <c r="AD72" i="6"/>
  <c r="AD69" i="6"/>
  <c r="AD65" i="6"/>
  <c r="AD60" i="6"/>
  <c r="AB61" i="6"/>
  <c r="AB58" i="6"/>
  <c r="AD53" i="6"/>
  <c r="AD48" i="6"/>
  <c r="AD46" i="6" s="1"/>
  <c r="AB45" i="6"/>
  <c r="AB28" i="6"/>
  <c r="AD23" i="6"/>
  <c r="AB21" i="6"/>
  <c r="AB19" i="6"/>
  <c r="AB13" i="6"/>
  <c r="AD9" i="6"/>
  <c r="AB176" i="6"/>
  <c r="AC174" i="6"/>
  <c r="AB162" i="6"/>
  <c r="AC153" i="6"/>
  <c r="AB149" i="6"/>
  <c r="AB128" i="6"/>
  <c r="AC122" i="6"/>
  <c r="AC120" i="6" s="1"/>
  <c r="AB107" i="6"/>
  <c r="AB104" i="6"/>
  <c r="AC85" i="6"/>
  <c r="AC65" i="6"/>
  <c r="AC53" i="6"/>
  <c r="AC48" i="6"/>
  <c r="AC46" i="6" s="1"/>
  <c r="AC32" i="6"/>
  <c r="AB29" i="6"/>
  <c r="AC23" i="6"/>
  <c r="AB20" i="6"/>
  <c r="AC9" i="6"/>
  <c r="AE91" i="6"/>
  <c r="AD91" i="6"/>
  <c r="AC91" i="6"/>
  <c r="AB158" i="6"/>
  <c r="AB164" i="6"/>
  <c r="AE77" i="6"/>
  <c r="AB47" i="6"/>
  <c r="AE106" i="6"/>
  <c r="AB101" i="6"/>
  <c r="AB100" i="6"/>
  <c r="AB75" i="6"/>
  <c r="AB126" i="6"/>
  <c r="AB161" i="6"/>
  <c r="AB96" i="6"/>
  <c r="AB18" i="6"/>
  <c r="AB92" i="6"/>
  <c r="AB177" i="6"/>
  <c r="AB27" i="6"/>
  <c r="AB49" i="6"/>
  <c r="AB57" i="6"/>
  <c r="AB123" i="6"/>
  <c r="AB137" i="6"/>
  <c r="AB167" i="6"/>
  <c r="AB109" i="6"/>
  <c r="AB73" i="6"/>
  <c r="AB64" i="6"/>
  <c r="AB44" i="6"/>
  <c r="AB74" i="6"/>
  <c r="AB146" i="6"/>
  <c r="AB173" i="6"/>
  <c r="AB178" i="6"/>
  <c r="AB121" i="6"/>
  <c r="AB40" i="6"/>
  <c r="AB116" i="6"/>
  <c r="AB125" i="6"/>
  <c r="AB124" i="6"/>
  <c r="AB94" i="6"/>
  <c r="AB93" i="6" s="1"/>
  <c r="AB26" i="6"/>
  <c r="AB62" i="6"/>
  <c r="AB108" i="6"/>
  <c r="AB160" i="6"/>
  <c r="AB159" i="6"/>
  <c r="AB56" i="6"/>
  <c r="AB80" i="6"/>
  <c r="AB35" i="6"/>
  <c r="AB34" i="6"/>
  <c r="AB50" i="6"/>
  <c r="AB90" i="6"/>
  <c r="AB165" i="6"/>
  <c r="AB156" i="6"/>
  <c r="AB172" i="6"/>
  <c r="AB67" i="6"/>
  <c r="AB41" i="6"/>
  <c r="AC182" i="6"/>
  <c r="AC119" i="6"/>
  <c r="AB119" i="6" s="1"/>
  <c r="AC117" i="6"/>
  <c r="AB117" i="6" s="1"/>
  <c r="AC115" i="6"/>
  <c r="AC113" i="6" s="1"/>
  <c r="AB65" i="6" l="1"/>
  <c r="AE22" i="6"/>
  <c r="AE8" i="6"/>
  <c r="AE68" i="6"/>
  <c r="AB182" i="6"/>
  <c r="AE152" i="6"/>
  <c r="AE95" i="6"/>
  <c r="AE76" i="6"/>
  <c r="AE52" i="6"/>
  <c r="AD68" i="6"/>
  <c r="AD22" i="6"/>
  <c r="AB32" i="6"/>
  <c r="AB91" i="6"/>
  <c r="AB72" i="6"/>
  <c r="AD52" i="6"/>
  <c r="AC22" i="6"/>
  <c r="AB157" i="6"/>
  <c r="AB48" i="6"/>
  <c r="AB98" i="6"/>
  <c r="AB51" i="6"/>
  <c r="AB12" i="6"/>
  <c r="AB171" i="6"/>
  <c r="AB122" i="6"/>
  <c r="AB120" i="6" s="1"/>
  <c r="AB38" i="6"/>
  <c r="AB25" i="6"/>
  <c r="AB24" i="6"/>
  <c r="AB115" i="6"/>
  <c r="AB113" i="6" s="1"/>
  <c r="AB79" i="6"/>
  <c r="AB78" i="6"/>
  <c r="AB55" i="6"/>
  <c r="AB170" i="6"/>
  <c r="AB70" i="6"/>
  <c r="AB16" i="6"/>
  <c r="AE6" i="6" l="1"/>
  <c r="C52" i="15" s="1"/>
  <c r="AB46" i="6"/>
  <c r="AB168" i="6"/>
  <c r="AB143" i="6"/>
  <c r="AB144" i="6"/>
  <c r="AB11" i="6"/>
  <c r="AB155" i="6"/>
  <c r="AB23" i="6"/>
  <c r="AB22" i="6" s="1"/>
  <c r="AB154" i="6"/>
  <c r="AB10" i="6"/>
  <c r="AB54" i="6"/>
  <c r="AB53" i="6" s="1"/>
  <c r="AC142" i="6"/>
  <c r="AC135" i="6"/>
  <c r="AC134" i="6"/>
  <c r="AB134" i="6" s="1"/>
  <c r="AC132" i="6"/>
  <c r="AB132" i="6" s="1"/>
  <c r="AD138" i="6"/>
  <c r="AD135" i="6"/>
  <c r="AD133" i="6" s="1"/>
  <c r="AD110" i="6"/>
  <c r="AC89" i="6"/>
  <c r="AD86" i="6"/>
  <c r="AC81" i="6"/>
  <c r="AC71" i="6"/>
  <c r="AC43" i="6"/>
  <c r="AC42" i="6"/>
  <c r="AC37" i="6"/>
  <c r="AB37" i="6" s="1"/>
  <c r="AD131" i="6" l="1"/>
  <c r="AC69" i="6"/>
  <c r="AC68" i="6" s="1"/>
  <c r="AB71" i="6"/>
  <c r="AB69" i="6" s="1"/>
  <c r="AB68" i="6" s="1"/>
  <c r="AD106" i="6"/>
  <c r="AC88" i="6"/>
  <c r="AB89" i="6"/>
  <c r="AB88" i="6" s="1"/>
  <c r="AB86" i="6"/>
  <c r="AC77" i="6"/>
  <c r="AB81" i="6"/>
  <c r="AB77" i="6" s="1"/>
  <c r="AC141" i="6"/>
  <c r="AC140" i="6" s="1"/>
  <c r="AB142" i="6"/>
  <c r="AB141" i="6" s="1"/>
  <c r="AB135" i="6"/>
  <c r="AC39" i="6"/>
  <c r="AC36" i="6" s="1"/>
  <c r="AB42" i="6"/>
  <c r="AB9" i="6"/>
  <c r="AB153" i="6"/>
  <c r="AC111" i="6"/>
  <c r="AB111" i="6" s="1"/>
  <c r="AC59" i="6"/>
  <c r="AC15" i="6"/>
  <c r="AD181" i="6"/>
  <c r="AC110" i="6"/>
  <c r="AC138" i="6"/>
  <c r="AB138" i="6" s="1"/>
  <c r="AC106" i="6" l="1"/>
  <c r="AB110" i="6"/>
  <c r="AB106" i="6" s="1"/>
  <c r="AC76" i="6"/>
  <c r="AB181" i="6"/>
  <c r="AD180" i="6"/>
  <c r="AB15" i="6"/>
  <c r="AC14" i="6"/>
  <c r="AC8" i="6" s="1"/>
  <c r="AB59" i="6"/>
  <c r="AA183" i="6" l="1"/>
  <c r="AA182" i="6"/>
  <c r="AA181" i="6"/>
  <c r="AA179" i="6"/>
  <c r="AA178" i="6"/>
  <c r="AA177" i="6"/>
  <c r="AA176" i="6"/>
  <c r="AA175" i="6"/>
  <c r="AA173" i="6"/>
  <c r="AA172" i="6"/>
  <c r="AA171" i="6"/>
  <c r="AA170" i="6"/>
  <c r="AA169" i="6"/>
  <c r="AA167" i="6"/>
  <c r="AA166" i="6"/>
  <c r="AA165" i="6"/>
  <c r="AA164" i="6"/>
  <c r="AA162" i="6"/>
  <c r="AA161" i="6"/>
  <c r="AA160" i="6"/>
  <c r="AA159" i="6"/>
  <c r="AA158" i="6"/>
  <c r="AA156" i="6"/>
  <c r="AA155" i="6"/>
  <c r="AA154" i="6"/>
  <c r="AA151" i="6"/>
  <c r="AA150" i="6"/>
  <c r="AA149" i="6"/>
  <c r="AA148" i="6"/>
  <c r="AA147" i="6"/>
  <c r="AA146" i="6"/>
  <c r="AA145" i="6"/>
  <c r="AA144" i="6"/>
  <c r="AA143" i="6"/>
  <c r="AA142" i="6"/>
  <c r="AA139" i="6"/>
  <c r="AA138" i="6"/>
  <c r="AA137" i="6"/>
  <c r="AA136" i="6"/>
  <c r="AA135" i="6"/>
  <c r="AA134" i="6"/>
  <c r="AA132" i="6"/>
  <c r="AA130" i="6"/>
  <c r="AA129" i="6"/>
  <c r="AA128" i="6"/>
  <c r="AA127" i="6"/>
  <c r="AA126" i="6"/>
  <c r="AA125" i="6"/>
  <c r="AA124" i="6"/>
  <c r="AA123" i="6"/>
  <c r="AA121" i="6"/>
  <c r="AA119" i="6"/>
  <c r="AA118" i="6"/>
  <c r="AA117" i="6"/>
  <c r="AA116" i="6"/>
  <c r="AA115" i="6"/>
  <c r="AA114" i="6"/>
  <c r="AA112" i="6"/>
  <c r="AA111" i="6"/>
  <c r="AA110" i="6"/>
  <c r="AA109" i="6"/>
  <c r="AA108" i="6"/>
  <c r="AA107" i="6"/>
  <c r="AA105" i="6"/>
  <c r="AA104" i="6"/>
  <c r="AA103" i="6"/>
  <c r="AA102" i="6"/>
  <c r="AA101" i="6"/>
  <c r="AA100" i="6"/>
  <c r="AA99" i="6"/>
  <c r="AA98" i="6"/>
  <c r="AA96" i="6"/>
  <c r="AA94" i="6"/>
  <c r="AA92" i="6"/>
  <c r="AA90" i="6"/>
  <c r="AA89" i="6"/>
  <c r="AA87" i="6"/>
  <c r="AA86" i="6"/>
  <c r="AA84" i="6"/>
  <c r="AA83" i="6"/>
  <c r="AA82" i="6"/>
  <c r="AA81" i="6"/>
  <c r="AA80" i="6"/>
  <c r="AA79" i="6"/>
  <c r="AA78" i="6"/>
  <c r="AA75" i="6"/>
  <c r="AA74" i="6"/>
  <c r="AA73" i="6"/>
  <c r="AA71" i="6"/>
  <c r="AA70" i="6"/>
  <c r="AA67" i="6"/>
  <c r="AA66" i="6"/>
  <c r="AA64" i="6"/>
  <c r="AA63" i="6"/>
  <c r="AA62" i="6"/>
  <c r="AA61" i="6"/>
  <c r="AA59" i="6"/>
  <c r="AA58" i="6"/>
  <c r="AA57" i="6"/>
  <c r="AA56" i="6"/>
  <c r="AA55" i="6"/>
  <c r="AA54" i="6"/>
  <c r="AA51" i="6"/>
  <c r="AA50" i="6"/>
  <c r="AA49" i="6"/>
  <c r="AA47" i="6"/>
  <c r="AA45" i="6"/>
  <c r="AA44" i="6"/>
  <c r="AA43" i="6"/>
  <c r="AA42" i="6"/>
  <c r="AA41" i="6"/>
  <c r="AA40" i="6"/>
  <c r="AA38" i="6"/>
  <c r="AA37" i="6"/>
  <c r="AA35" i="6"/>
  <c r="AA34" i="6"/>
  <c r="AA33" i="6"/>
  <c r="AA31" i="6"/>
  <c r="AA30" i="6"/>
  <c r="AA29" i="6"/>
  <c r="AA28" i="6"/>
  <c r="AA27" i="6"/>
  <c r="AA26" i="6"/>
  <c r="AA25" i="6"/>
  <c r="AA24" i="6"/>
  <c r="AA21" i="6"/>
  <c r="AA20" i="6"/>
  <c r="AA19" i="6"/>
  <c r="AA18" i="6"/>
  <c r="AA17" i="6"/>
  <c r="AA16" i="6"/>
  <c r="AA15" i="6"/>
  <c r="AA13" i="6"/>
  <c r="AA12" i="6"/>
  <c r="AA11" i="6"/>
  <c r="AA10" i="6"/>
  <c r="Z183" i="6"/>
  <c r="Z182" i="6"/>
  <c r="Z181" i="6"/>
  <c r="Z179" i="6"/>
  <c r="Z178" i="6"/>
  <c r="Z177" i="6"/>
  <c r="Z176" i="6"/>
  <c r="Z175" i="6"/>
  <c r="Z173" i="6"/>
  <c r="Z172" i="6"/>
  <c r="Z171" i="6"/>
  <c r="Z170" i="6"/>
  <c r="Z169" i="6"/>
  <c r="Z167" i="6"/>
  <c r="Z165" i="6"/>
  <c r="Z164" i="6"/>
  <c r="Z162" i="6"/>
  <c r="Z161" i="6"/>
  <c r="Z160" i="6"/>
  <c r="Z159" i="6"/>
  <c r="Z158" i="6"/>
  <c r="Z156" i="6"/>
  <c r="Z155" i="6"/>
  <c r="Z154" i="6"/>
  <c r="Z151" i="6"/>
  <c r="Z149" i="6"/>
  <c r="Z148" i="6"/>
  <c r="Z147" i="6"/>
  <c r="Z146" i="6"/>
  <c r="Z145" i="6"/>
  <c r="Z144" i="6"/>
  <c r="Z143" i="6"/>
  <c r="Z142" i="6"/>
  <c r="Z139" i="6"/>
  <c r="Z138" i="6"/>
  <c r="Z137" i="6"/>
  <c r="Z136" i="6"/>
  <c r="Z135" i="6"/>
  <c r="Z134" i="6"/>
  <c r="Z132" i="6"/>
  <c r="Z130" i="6"/>
  <c r="Z129" i="6"/>
  <c r="Z128" i="6"/>
  <c r="Z127" i="6"/>
  <c r="Z126" i="6"/>
  <c r="Z125" i="6"/>
  <c r="Z124" i="6"/>
  <c r="Z123" i="6"/>
  <c r="Z121" i="6"/>
  <c r="Z119" i="6"/>
  <c r="Z117" i="6"/>
  <c r="Z116" i="6"/>
  <c r="Z115" i="6"/>
  <c r="Z114" i="6"/>
  <c r="Z112" i="6"/>
  <c r="Z111" i="6"/>
  <c r="Z110" i="6"/>
  <c r="Z109" i="6"/>
  <c r="Z108" i="6"/>
  <c r="Z107" i="6"/>
  <c r="Z105" i="6"/>
  <c r="Z104" i="6"/>
  <c r="Z103" i="6"/>
  <c r="Z102" i="6"/>
  <c r="Z101" i="6"/>
  <c r="Z100" i="6"/>
  <c r="Z99" i="6"/>
  <c r="Z98" i="6"/>
  <c r="Z96" i="6"/>
  <c r="Z94" i="6"/>
  <c r="Z92" i="6"/>
  <c r="Z90" i="6"/>
  <c r="Z89" i="6"/>
  <c r="Z86" i="6"/>
  <c r="Z84" i="6"/>
  <c r="Z83" i="6"/>
  <c r="Z82" i="6"/>
  <c r="Z81" i="6"/>
  <c r="Z80" i="6"/>
  <c r="Z79" i="6"/>
  <c r="Z78" i="6"/>
  <c r="Z75" i="6"/>
  <c r="Z74" i="6"/>
  <c r="Z73" i="6"/>
  <c r="Z71" i="6"/>
  <c r="Z70" i="6"/>
  <c r="Z67" i="6"/>
  <c r="Z66" i="6"/>
  <c r="Z64" i="6"/>
  <c r="Z63" i="6"/>
  <c r="Z62" i="6"/>
  <c r="Z61" i="6"/>
  <c r="Z59" i="6"/>
  <c r="Z58" i="6"/>
  <c r="Z57" i="6"/>
  <c r="Z56" i="6"/>
  <c r="Z55" i="6"/>
  <c r="Z54" i="6"/>
  <c r="Z51" i="6"/>
  <c r="Z50" i="6"/>
  <c r="Z49" i="6"/>
  <c r="Z47" i="6"/>
  <c r="Z45" i="6"/>
  <c r="Z44" i="6"/>
  <c r="Z42" i="6"/>
  <c r="Z41" i="6"/>
  <c r="Z40" i="6"/>
  <c r="Z38" i="6"/>
  <c r="Z37" i="6"/>
  <c r="Z35" i="6"/>
  <c r="Z34" i="6"/>
  <c r="Z33" i="6"/>
  <c r="Z31" i="6"/>
  <c r="Z30" i="6"/>
  <c r="Z29" i="6"/>
  <c r="Z28" i="6"/>
  <c r="Z27" i="6"/>
  <c r="Z26" i="6"/>
  <c r="Z25" i="6"/>
  <c r="Z24" i="6"/>
  <c r="Z21" i="6"/>
  <c r="Z20" i="6"/>
  <c r="Z19" i="6"/>
  <c r="Z18" i="6"/>
  <c r="Z17" i="6"/>
  <c r="Z16" i="6"/>
  <c r="Z15" i="6"/>
  <c r="Z13" i="6"/>
  <c r="Z12" i="6"/>
  <c r="Z11" i="6"/>
  <c r="Z10" i="6"/>
  <c r="Y182" i="6"/>
  <c r="Y181" i="6"/>
  <c r="Y179" i="6"/>
  <c r="Y178" i="6"/>
  <c r="Y177" i="6"/>
  <c r="Y176" i="6"/>
  <c r="Y175" i="6"/>
  <c r="Y173" i="6"/>
  <c r="Y172" i="6"/>
  <c r="Y171" i="6"/>
  <c r="Y170" i="6"/>
  <c r="Y169" i="6"/>
  <c r="Y167" i="6"/>
  <c r="Y165" i="6"/>
  <c r="Y164" i="6"/>
  <c r="Y162" i="6"/>
  <c r="Y161" i="6"/>
  <c r="Y160" i="6"/>
  <c r="Y159" i="6"/>
  <c r="Y158" i="6"/>
  <c r="Y156" i="6"/>
  <c r="Y155" i="6"/>
  <c r="Y154" i="6"/>
  <c r="Y151" i="6"/>
  <c r="Y150" i="6"/>
  <c r="Y149" i="6"/>
  <c r="Y148" i="6"/>
  <c r="Y147" i="6"/>
  <c r="Y146" i="6"/>
  <c r="Y145" i="6"/>
  <c r="Y144" i="6"/>
  <c r="Y143" i="6"/>
  <c r="Y142" i="6"/>
  <c r="Y139" i="6"/>
  <c r="Y138" i="6"/>
  <c r="Y137" i="6"/>
  <c r="Y135" i="6"/>
  <c r="Y134" i="6"/>
  <c r="Y132" i="6"/>
  <c r="Y130" i="6"/>
  <c r="Y129" i="6"/>
  <c r="Y128" i="6"/>
  <c r="Y127" i="6"/>
  <c r="Y126" i="6"/>
  <c r="Y125" i="6"/>
  <c r="Y124" i="6"/>
  <c r="Y123" i="6"/>
  <c r="Y121" i="6"/>
  <c r="Y119" i="6"/>
  <c r="Y118" i="6"/>
  <c r="Y117" i="6"/>
  <c r="Y116" i="6"/>
  <c r="Y115" i="6"/>
  <c r="Y114" i="6"/>
  <c r="Y112" i="6"/>
  <c r="Y111" i="6"/>
  <c r="Y110" i="6"/>
  <c r="Y109" i="6"/>
  <c r="Y108" i="6"/>
  <c r="Y107" i="6"/>
  <c r="Y105" i="6"/>
  <c r="Y104" i="6"/>
  <c r="Y103" i="6"/>
  <c r="Y102" i="6"/>
  <c r="Y101" i="6"/>
  <c r="Y100" i="6"/>
  <c r="Y98" i="6"/>
  <c r="Y96" i="6"/>
  <c r="Y94" i="6"/>
  <c r="Y92" i="6"/>
  <c r="Y78" i="6"/>
  <c r="Y75" i="6"/>
  <c r="Y74" i="6"/>
  <c r="Y73" i="6"/>
  <c r="Y71" i="6"/>
  <c r="Y70" i="6"/>
  <c r="Y67" i="6"/>
  <c r="Y66" i="6"/>
  <c r="Y64" i="6"/>
  <c r="Y63" i="6"/>
  <c r="Y62" i="6"/>
  <c r="Y61" i="6"/>
  <c r="Y59" i="6"/>
  <c r="Y58" i="6"/>
  <c r="Y57" i="6"/>
  <c r="Y56" i="6"/>
  <c r="Y55" i="6"/>
  <c r="Y54" i="6"/>
  <c r="Y51" i="6"/>
  <c r="Y50" i="6"/>
  <c r="Y49" i="6"/>
  <c r="Y47" i="6"/>
  <c r="Y45" i="6"/>
  <c r="Y44" i="6"/>
  <c r="Y43" i="6"/>
  <c r="Y42" i="6"/>
  <c r="Y41" i="6"/>
  <c r="Y40" i="6"/>
  <c r="Y38" i="6"/>
  <c r="Y37" i="6"/>
  <c r="Y35" i="6"/>
  <c r="Y34" i="6"/>
  <c r="Y33" i="6"/>
  <c r="Y31" i="6"/>
  <c r="Y30" i="6"/>
  <c r="Y29" i="6"/>
  <c r="Y28" i="6"/>
  <c r="Y27" i="6"/>
  <c r="Y26" i="6"/>
  <c r="Y25" i="6"/>
  <c r="Y24" i="6"/>
  <c r="Y21" i="6"/>
  <c r="Y20" i="6"/>
  <c r="Y19" i="6"/>
  <c r="Y18" i="6"/>
  <c r="Y17" i="6"/>
  <c r="Y16" i="6"/>
  <c r="Y15" i="6"/>
  <c r="Y13" i="6"/>
  <c r="Y12" i="6"/>
  <c r="Y11" i="6"/>
  <c r="Y10" i="6"/>
  <c r="Y90" i="6"/>
  <c r="Y89" i="6"/>
  <c r="Y87" i="6"/>
  <c r="Y86" i="6"/>
  <c r="Y84" i="6"/>
  <c r="Y83" i="6"/>
  <c r="Y82" i="6"/>
  <c r="Y81" i="6"/>
  <c r="Y80" i="6"/>
  <c r="Y79" i="6"/>
  <c r="AA180" i="6" l="1"/>
  <c r="X178" i="6"/>
  <c r="AA174" i="6"/>
  <c r="Z174" i="6"/>
  <c r="Y174" i="6"/>
  <c r="X172" i="6"/>
  <c r="AA168" i="6"/>
  <c r="X160" i="6"/>
  <c r="Z157" i="6"/>
  <c r="X158" i="6"/>
  <c r="X155" i="6"/>
  <c r="AA153" i="6"/>
  <c r="X151" i="6"/>
  <c r="X145" i="6"/>
  <c r="AA141" i="6"/>
  <c r="AA140" i="6" s="1"/>
  <c r="X143" i="6"/>
  <c r="X139" i="6"/>
  <c r="X135" i="6"/>
  <c r="Z133" i="6"/>
  <c r="X130" i="6"/>
  <c r="Y122" i="6"/>
  <c r="X121" i="6"/>
  <c r="Z113" i="6"/>
  <c r="Y113" i="6"/>
  <c r="X112" i="6"/>
  <c r="X111" i="6"/>
  <c r="X109" i="6"/>
  <c r="X104" i="6"/>
  <c r="X103" i="6"/>
  <c r="X101" i="6"/>
  <c r="X100" i="6"/>
  <c r="Z97" i="6"/>
  <c r="AA93" i="6"/>
  <c r="AA91" i="6" s="1"/>
  <c r="Z93" i="6"/>
  <c r="Z91" i="6" s="1"/>
  <c r="Y93" i="6"/>
  <c r="Y91" i="6" s="1"/>
  <c r="AA88" i="6"/>
  <c r="X90" i="6"/>
  <c r="Z88" i="6"/>
  <c r="AA85" i="6"/>
  <c r="X86" i="6"/>
  <c r="X82" i="6"/>
  <c r="X81" i="6"/>
  <c r="Z77" i="6"/>
  <c r="X78" i="6"/>
  <c r="X75" i="6"/>
  <c r="X74" i="6"/>
  <c r="AA72" i="6"/>
  <c r="AA69" i="6"/>
  <c r="Y69" i="6"/>
  <c r="X67" i="6"/>
  <c r="AA65" i="6"/>
  <c r="Z65" i="6"/>
  <c r="X64" i="6"/>
  <c r="X58" i="6"/>
  <c r="X56" i="6"/>
  <c r="X54" i="6"/>
  <c r="AA48" i="6"/>
  <c r="Z48" i="6"/>
  <c r="Y48" i="6"/>
  <c r="AA39" i="6"/>
  <c r="X40" i="6"/>
  <c r="Y32" i="6"/>
  <c r="AA32" i="6"/>
  <c r="Z32" i="6"/>
  <c r="X31" i="6"/>
  <c r="X28" i="6"/>
  <c r="AA23" i="6"/>
  <c r="X25" i="6"/>
  <c r="X19" i="6"/>
  <c r="X16" i="6"/>
  <c r="X13" i="6"/>
  <c r="Z9" i="6"/>
  <c r="W183" i="6"/>
  <c r="W182" i="6"/>
  <c r="W181" i="6"/>
  <c r="W179" i="6"/>
  <c r="W178" i="6"/>
  <c r="W177" i="6"/>
  <c r="W176" i="6"/>
  <c r="W175" i="6"/>
  <c r="W173" i="6"/>
  <c r="W172" i="6"/>
  <c r="W171" i="6"/>
  <c r="W170" i="6"/>
  <c r="W169" i="6"/>
  <c r="W167" i="6"/>
  <c r="W166" i="6"/>
  <c r="W165" i="6"/>
  <c r="W164" i="6"/>
  <c r="W162" i="6"/>
  <c r="W161" i="6"/>
  <c r="W160" i="6"/>
  <c r="W159" i="6"/>
  <c r="W158" i="6"/>
  <c r="W156" i="6"/>
  <c r="W155" i="6"/>
  <c r="W154" i="6"/>
  <c r="W151" i="6"/>
  <c r="W150" i="6"/>
  <c r="W149" i="6"/>
  <c r="W148" i="6"/>
  <c r="W147" i="6"/>
  <c r="W146" i="6"/>
  <c r="W145" i="6"/>
  <c r="W144" i="6"/>
  <c r="W143" i="6"/>
  <c r="W142" i="6"/>
  <c r="W139" i="6"/>
  <c r="W138" i="6"/>
  <c r="W137" i="6"/>
  <c r="W136" i="6"/>
  <c r="W135" i="6"/>
  <c r="W134" i="6"/>
  <c r="W132" i="6"/>
  <c r="W130" i="6"/>
  <c r="W129" i="6"/>
  <c r="W128" i="6"/>
  <c r="W127" i="6"/>
  <c r="W126" i="6"/>
  <c r="W125" i="6"/>
  <c r="W124" i="6"/>
  <c r="W123" i="6"/>
  <c r="W121" i="6"/>
  <c r="W119" i="6"/>
  <c r="W118" i="6"/>
  <c r="W117" i="6"/>
  <c r="W114" i="6"/>
  <c r="W116" i="6"/>
  <c r="W115" i="6"/>
  <c r="W112" i="6"/>
  <c r="W111" i="6"/>
  <c r="W110" i="6"/>
  <c r="W109" i="6"/>
  <c r="W108" i="6"/>
  <c r="W107" i="6"/>
  <c r="W105" i="6"/>
  <c r="W104" i="6"/>
  <c r="W103" i="6"/>
  <c r="W102" i="6"/>
  <c r="W101" i="6"/>
  <c r="W100" i="6"/>
  <c r="W99" i="6"/>
  <c r="W98" i="6"/>
  <c r="W96" i="6"/>
  <c r="W94" i="6"/>
  <c r="W92" i="6"/>
  <c r="W90" i="6"/>
  <c r="W89" i="6"/>
  <c r="W87" i="6"/>
  <c r="W86" i="6"/>
  <c r="W84" i="6"/>
  <c r="W83" i="6"/>
  <c r="W82" i="6"/>
  <c r="W81" i="6"/>
  <c r="W80" i="6"/>
  <c r="W79" i="6"/>
  <c r="W78" i="6"/>
  <c r="W75" i="6"/>
  <c r="W74" i="6"/>
  <c r="W73" i="6"/>
  <c r="W71" i="6"/>
  <c r="W70" i="6"/>
  <c r="W67" i="6"/>
  <c r="W66" i="6"/>
  <c r="W64" i="6"/>
  <c r="W63" i="6"/>
  <c r="W62" i="6"/>
  <c r="W61" i="6"/>
  <c r="W59" i="6"/>
  <c r="W58" i="6"/>
  <c r="W57" i="6"/>
  <c r="W56" i="6"/>
  <c r="W55" i="6"/>
  <c r="W54" i="6"/>
  <c r="W51" i="6"/>
  <c r="W50" i="6"/>
  <c r="W49" i="6"/>
  <c r="W47" i="6"/>
  <c r="W45" i="6"/>
  <c r="W44" i="6"/>
  <c r="W43" i="6"/>
  <c r="W42" i="6"/>
  <c r="W41" i="6"/>
  <c r="W40" i="6"/>
  <c r="W38" i="6"/>
  <c r="W37" i="6"/>
  <c r="W35" i="6"/>
  <c r="W34" i="6"/>
  <c r="W33" i="6"/>
  <c r="W31" i="6"/>
  <c r="W30" i="6"/>
  <c r="W29" i="6"/>
  <c r="W28" i="6"/>
  <c r="W27" i="6"/>
  <c r="W26" i="6"/>
  <c r="W25" i="6"/>
  <c r="W24" i="6"/>
  <c r="W21" i="6"/>
  <c r="W20" i="6"/>
  <c r="W19" i="6"/>
  <c r="W18" i="6"/>
  <c r="W17" i="6"/>
  <c r="W16" i="6"/>
  <c r="W15" i="6"/>
  <c r="W13" i="6"/>
  <c r="W12" i="6"/>
  <c r="W11" i="6"/>
  <c r="W10" i="6"/>
  <c r="V183" i="6"/>
  <c r="V182" i="6"/>
  <c r="V181" i="6"/>
  <c r="V179" i="6"/>
  <c r="V178" i="6"/>
  <c r="V177" i="6"/>
  <c r="V176" i="6"/>
  <c r="V175" i="6"/>
  <c r="V173" i="6"/>
  <c r="V172" i="6"/>
  <c r="V171" i="6"/>
  <c r="V170" i="6"/>
  <c r="V169" i="6"/>
  <c r="V167" i="6"/>
  <c r="V166" i="6"/>
  <c r="V165" i="6"/>
  <c r="V164" i="6"/>
  <c r="V162" i="6"/>
  <c r="V161" i="6"/>
  <c r="V160" i="6"/>
  <c r="V159" i="6"/>
  <c r="V158" i="6"/>
  <c r="V156" i="6"/>
  <c r="V155" i="6"/>
  <c r="V154" i="6"/>
  <c r="V151" i="6"/>
  <c r="V150" i="6"/>
  <c r="V149" i="6"/>
  <c r="V148" i="6"/>
  <c r="V147" i="6"/>
  <c r="V146" i="6"/>
  <c r="V145" i="6"/>
  <c r="V144" i="6"/>
  <c r="V143" i="6"/>
  <c r="V142" i="6"/>
  <c r="V139" i="6"/>
  <c r="V138" i="6"/>
  <c r="V137" i="6"/>
  <c r="V136" i="6"/>
  <c r="V135" i="6"/>
  <c r="V134" i="6"/>
  <c r="V132" i="6"/>
  <c r="V130" i="6"/>
  <c r="V129" i="6"/>
  <c r="V128" i="6"/>
  <c r="V127" i="6"/>
  <c r="V126" i="6"/>
  <c r="V125" i="6"/>
  <c r="V124" i="6"/>
  <c r="V123" i="6"/>
  <c r="V121" i="6"/>
  <c r="V119" i="6"/>
  <c r="V118" i="6"/>
  <c r="V117" i="6"/>
  <c r="V116" i="6"/>
  <c r="V115" i="6"/>
  <c r="V114" i="6"/>
  <c r="V112" i="6"/>
  <c r="V111" i="6"/>
  <c r="V110" i="6"/>
  <c r="V109" i="6"/>
  <c r="V108" i="6"/>
  <c r="V107" i="6"/>
  <c r="V105" i="6"/>
  <c r="V104" i="6"/>
  <c r="V103" i="6"/>
  <c r="V102" i="6"/>
  <c r="V101" i="6"/>
  <c r="V100" i="6"/>
  <c r="V99" i="6"/>
  <c r="V98" i="6"/>
  <c r="V96" i="6"/>
  <c r="V94" i="6"/>
  <c r="V92" i="6"/>
  <c r="V90" i="6"/>
  <c r="V89" i="6"/>
  <c r="V87" i="6"/>
  <c r="V86" i="6"/>
  <c r="V84" i="6"/>
  <c r="V83" i="6"/>
  <c r="V82" i="6"/>
  <c r="V81" i="6"/>
  <c r="V80" i="6"/>
  <c r="V79" i="6"/>
  <c r="V78" i="6"/>
  <c r="V75" i="6"/>
  <c r="V74" i="6"/>
  <c r="V73" i="6"/>
  <c r="V71" i="6"/>
  <c r="V70" i="6"/>
  <c r="V67" i="6"/>
  <c r="V66" i="6"/>
  <c r="V64" i="6"/>
  <c r="V63" i="6"/>
  <c r="V62" i="6"/>
  <c r="V61" i="6"/>
  <c r="V59" i="6"/>
  <c r="V58" i="6"/>
  <c r="V57" i="6"/>
  <c r="V56" i="6"/>
  <c r="V55" i="6"/>
  <c r="V54" i="6"/>
  <c r="V51" i="6"/>
  <c r="V50" i="6"/>
  <c r="V49" i="6"/>
  <c r="V47" i="6"/>
  <c r="V45" i="6"/>
  <c r="V44" i="6"/>
  <c r="V43" i="6"/>
  <c r="V42" i="6"/>
  <c r="V41" i="6"/>
  <c r="V40" i="6"/>
  <c r="V38" i="6"/>
  <c r="V37" i="6"/>
  <c r="V35" i="6"/>
  <c r="V34" i="6"/>
  <c r="V33" i="6"/>
  <c r="V31" i="6"/>
  <c r="V30" i="6"/>
  <c r="V29" i="6"/>
  <c r="V28" i="6"/>
  <c r="V27" i="6"/>
  <c r="V26" i="6"/>
  <c r="V25" i="6"/>
  <c r="V24" i="6"/>
  <c r="V21" i="6"/>
  <c r="V20" i="6"/>
  <c r="V19" i="6"/>
  <c r="V18" i="6"/>
  <c r="V17" i="6"/>
  <c r="V16" i="6"/>
  <c r="V15" i="6"/>
  <c r="V13" i="6"/>
  <c r="V12" i="6"/>
  <c r="V11" i="6"/>
  <c r="V10" i="6"/>
  <c r="U183" i="6"/>
  <c r="U182" i="6"/>
  <c r="U181" i="6"/>
  <c r="U179" i="6"/>
  <c r="U178" i="6"/>
  <c r="U177" i="6"/>
  <c r="U176" i="6"/>
  <c r="U175" i="6"/>
  <c r="U173" i="6"/>
  <c r="U172" i="6"/>
  <c r="U171" i="6"/>
  <c r="U170" i="6"/>
  <c r="U169" i="6"/>
  <c r="U167" i="6"/>
  <c r="U166" i="6"/>
  <c r="U165" i="6"/>
  <c r="U164" i="6"/>
  <c r="U162" i="6"/>
  <c r="U161" i="6"/>
  <c r="U160" i="6"/>
  <c r="U159" i="6"/>
  <c r="U158" i="6"/>
  <c r="U156" i="6"/>
  <c r="U155" i="6"/>
  <c r="U154" i="6"/>
  <c r="U151" i="6"/>
  <c r="U150" i="6"/>
  <c r="U149" i="6"/>
  <c r="U148" i="6"/>
  <c r="U147" i="6"/>
  <c r="U146" i="6"/>
  <c r="U145" i="6"/>
  <c r="U144" i="6"/>
  <c r="U143" i="6"/>
  <c r="U142" i="6"/>
  <c r="U139" i="6"/>
  <c r="U138" i="6"/>
  <c r="U137" i="6"/>
  <c r="U136" i="6"/>
  <c r="U135" i="6"/>
  <c r="U134" i="6"/>
  <c r="U132" i="6"/>
  <c r="U130" i="6"/>
  <c r="U129" i="6"/>
  <c r="U128" i="6"/>
  <c r="U127" i="6"/>
  <c r="U126" i="6"/>
  <c r="U125" i="6"/>
  <c r="U124" i="6"/>
  <c r="U123" i="6"/>
  <c r="U121" i="6"/>
  <c r="U119" i="6"/>
  <c r="U118" i="6"/>
  <c r="U117" i="6"/>
  <c r="U116" i="6"/>
  <c r="U115" i="6"/>
  <c r="U114" i="6"/>
  <c r="U112" i="6"/>
  <c r="U111" i="6"/>
  <c r="U110" i="6"/>
  <c r="U109" i="6"/>
  <c r="U108" i="6"/>
  <c r="U107" i="6"/>
  <c r="U105" i="6"/>
  <c r="U104" i="6"/>
  <c r="U103" i="6"/>
  <c r="U102" i="6"/>
  <c r="U101" i="6"/>
  <c r="U100" i="6"/>
  <c r="U99" i="6"/>
  <c r="U98" i="6"/>
  <c r="U96" i="6"/>
  <c r="U94" i="6"/>
  <c r="U92" i="6"/>
  <c r="U90" i="6"/>
  <c r="U89" i="6"/>
  <c r="U87" i="6"/>
  <c r="U86" i="6"/>
  <c r="U84" i="6"/>
  <c r="U83" i="6"/>
  <c r="U82" i="6"/>
  <c r="U81" i="6"/>
  <c r="U80" i="6"/>
  <c r="U79" i="6"/>
  <c r="U78" i="6"/>
  <c r="U75" i="6"/>
  <c r="U74" i="6"/>
  <c r="U73" i="6"/>
  <c r="U71" i="6"/>
  <c r="U70" i="6"/>
  <c r="U67" i="6"/>
  <c r="U66" i="6"/>
  <c r="U64" i="6"/>
  <c r="U63" i="6"/>
  <c r="U62" i="6"/>
  <c r="U61" i="6"/>
  <c r="U59" i="6"/>
  <c r="U58" i="6"/>
  <c r="U57" i="6"/>
  <c r="U56" i="6"/>
  <c r="U55" i="6"/>
  <c r="U54" i="6"/>
  <c r="U51" i="6"/>
  <c r="U50" i="6"/>
  <c r="U49" i="6"/>
  <c r="U47" i="6"/>
  <c r="U45" i="6"/>
  <c r="U44" i="6"/>
  <c r="U43" i="6"/>
  <c r="U42" i="6"/>
  <c r="U41" i="6"/>
  <c r="U40" i="6"/>
  <c r="U38" i="6"/>
  <c r="U37" i="6"/>
  <c r="U29" i="6"/>
  <c r="U28" i="6"/>
  <c r="U27" i="6"/>
  <c r="U26" i="6"/>
  <c r="U35" i="6"/>
  <c r="U34" i="6"/>
  <c r="U33" i="6"/>
  <c r="U31" i="6"/>
  <c r="U30" i="6"/>
  <c r="U25" i="6"/>
  <c r="U24" i="6"/>
  <c r="U21" i="6"/>
  <c r="U20" i="6"/>
  <c r="U19" i="6"/>
  <c r="U18" i="6"/>
  <c r="U17" i="6"/>
  <c r="U16" i="6"/>
  <c r="U15" i="6"/>
  <c r="U13" i="6"/>
  <c r="U12" i="6"/>
  <c r="U11" i="6"/>
  <c r="U10" i="6"/>
  <c r="AA68" i="6" l="1"/>
  <c r="X37" i="6"/>
  <c r="X148" i="6"/>
  <c r="Z23" i="6"/>
  <c r="Z22" i="6" s="1"/>
  <c r="Z53" i="6"/>
  <c r="Z72" i="6"/>
  <c r="X154" i="6"/>
  <c r="AA9" i="6"/>
  <c r="X70" i="6"/>
  <c r="Z106" i="6"/>
  <c r="Z180" i="6"/>
  <c r="Y9" i="6"/>
  <c r="T35" i="6"/>
  <c r="Z168" i="6"/>
  <c r="AA22" i="6"/>
  <c r="Z141" i="6"/>
  <c r="X94" i="6"/>
  <c r="X93" i="6" s="1"/>
  <c r="X127" i="6"/>
  <c r="X61" i="6"/>
  <c r="Z69" i="6"/>
  <c r="X21" i="6"/>
  <c r="X57" i="6"/>
  <c r="X62" i="6"/>
  <c r="X79" i="6"/>
  <c r="X83" i="6"/>
  <c r="X138" i="6"/>
  <c r="X12" i="6"/>
  <c r="X110" i="6"/>
  <c r="Z122" i="6"/>
  <c r="Z120" i="6" s="1"/>
  <c r="AA133" i="6"/>
  <c r="AA131" i="6" s="1"/>
  <c r="X165" i="6"/>
  <c r="X169" i="6"/>
  <c r="X20" i="6"/>
  <c r="Y53" i="6"/>
  <c r="Y72" i="6"/>
  <c r="Y68" i="6" s="1"/>
  <c r="AA77" i="6"/>
  <c r="AA76" i="6" s="1"/>
  <c r="X98" i="6"/>
  <c r="Y23" i="6"/>
  <c r="Y22" i="6" s="1"/>
  <c r="X41" i="6"/>
  <c r="X50" i="6"/>
  <c r="X59" i="6"/>
  <c r="X102" i="6"/>
  <c r="AA113" i="6"/>
  <c r="AA122" i="6"/>
  <c r="AA120" i="6" s="1"/>
  <c r="X161" i="6"/>
  <c r="Y168" i="6"/>
  <c r="X17" i="6"/>
  <c r="X29" i="6"/>
  <c r="X33" i="6"/>
  <c r="X45" i="6"/>
  <c r="Y77" i="6"/>
  <c r="AA97" i="6"/>
  <c r="X107" i="6"/>
  <c r="X115" i="6"/>
  <c r="X124" i="6"/>
  <c r="X132" i="6"/>
  <c r="Z153" i="6"/>
  <c r="AA163" i="6"/>
  <c r="X173" i="6"/>
  <c r="X181" i="6"/>
  <c r="X26" i="6"/>
  <c r="X177" i="6"/>
  <c r="Z131" i="6"/>
  <c r="X42" i="6"/>
  <c r="X51" i="6"/>
  <c r="Y88" i="6"/>
  <c r="AA106" i="6"/>
  <c r="X119" i="6"/>
  <c r="X128" i="6"/>
  <c r="X142" i="6"/>
  <c r="X149" i="6"/>
  <c r="X162" i="6"/>
  <c r="X170" i="6"/>
  <c r="X10" i="6"/>
  <c r="X18" i="6"/>
  <c r="X30" i="6"/>
  <c r="X34" i="6"/>
  <c r="X38" i="6"/>
  <c r="X47" i="6"/>
  <c r="Y60" i="6"/>
  <c r="X80" i="6"/>
  <c r="X89" i="6"/>
  <c r="X88" i="6" s="1"/>
  <c r="X108" i="6"/>
  <c r="X137" i="6"/>
  <c r="Y141" i="6"/>
  <c r="Y140" i="6" s="1"/>
  <c r="Y153" i="6"/>
  <c r="X84" i="6"/>
  <c r="X182" i="6"/>
  <c r="X116" i="6"/>
  <c r="X125" i="6"/>
  <c r="X146" i="6"/>
  <c r="X159" i="6"/>
  <c r="X15" i="6"/>
  <c r="X27" i="6"/>
  <c r="AA46" i="6"/>
  <c r="AA60" i="6"/>
  <c r="X66" i="6"/>
  <c r="X65" i="6" s="1"/>
  <c r="X71" i="6"/>
  <c r="X96" i="6"/>
  <c r="X129" i="6"/>
  <c r="X134" i="6"/>
  <c r="X167" i="6"/>
  <c r="X171" i="6"/>
  <c r="X175" i="6"/>
  <c r="X174" i="6" s="1"/>
  <c r="X11" i="6"/>
  <c r="AA14" i="6"/>
  <c r="X24" i="6"/>
  <c r="X35" i="6"/>
  <c r="X49" i="6"/>
  <c r="Z60" i="6"/>
  <c r="Y85" i="6"/>
  <c r="Y106" i="6"/>
  <c r="X117" i="6"/>
  <c r="X126" i="6"/>
  <c r="X147" i="6"/>
  <c r="X164" i="6"/>
  <c r="X179" i="6"/>
  <c r="AA157" i="6"/>
  <c r="Z14" i="6"/>
  <c r="Z8" i="6" s="1"/>
  <c r="Y39" i="6"/>
  <c r="Y36" i="6" s="1"/>
  <c r="Y46" i="6"/>
  <c r="AA53" i="6"/>
  <c r="Y157" i="6"/>
  <c r="X44" i="6"/>
  <c r="X55" i="6"/>
  <c r="X63" i="6"/>
  <c r="Y65" i="6"/>
  <c r="X73" i="6"/>
  <c r="X72" i="6" s="1"/>
  <c r="X92" i="6"/>
  <c r="X105" i="6"/>
  <c r="X114" i="6"/>
  <c r="X123" i="6"/>
  <c r="X144" i="6"/>
  <c r="X156" i="6"/>
  <c r="X176" i="6"/>
  <c r="Z46" i="6"/>
  <c r="AA36" i="6"/>
  <c r="Y120" i="6"/>
  <c r="Y14" i="6"/>
  <c r="V60" i="6"/>
  <c r="V39" i="6"/>
  <c r="U141" i="6"/>
  <c r="X53" i="6" l="1"/>
  <c r="X91" i="6"/>
  <c r="AA152" i="6"/>
  <c r="AA95" i="6"/>
  <c r="AA52" i="6"/>
  <c r="X48" i="6"/>
  <c r="X46" i="6" s="1"/>
  <c r="AA8" i="6"/>
  <c r="X113" i="6"/>
  <c r="Z68" i="6"/>
  <c r="Z52" i="6"/>
  <c r="X157" i="6"/>
  <c r="X153" i="6"/>
  <c r="X69" i="6"/>
  <c r="X68" i="6" s="1"/>
  <c r="X32" i="6"/>
  <c r="X14" i="6"/>
  <c r="Y8" i="6"/>
  <c r="X9" i="6"/>
  <c r="Y76" i="6"/>
  <c r="X23" i="6"/>
  <c r="X60" i="6"/>
  <c r="X141" i="6"/>
  <c r="X77" i="6"/>
  <c r="X122" i="6"/>
  <c r="X120" i="6" s="1"/>
  <c r="Y52" i="6"/>
  <c r="X168" i="6"/>
  <c r="X106" i="6"/>
  <c r="X52" i="6" l="1"/>
  <c r="AA6" i="6"/>
  <c r="X22" i="6"/>
  <c r="X8" i="6"/>
  <c r="E28" i="7"/>
  <c r="E27" i="7"/>
  <c r="E26" i="7"/>
  <c r="E12" i="7"/>
  <c r="E8" i="7"/>
  <c r="E4" i="7"/>
  <c r="E21" i="7" l="1"/>
  <c r="E36" i="7"/>
  <c r="E16" i="7"/>
  <c r="E13" i="7" l="1"/>
  <c r="E33" i="7" l="1"/>
  <c r="E14" i="7"/>
  <c r="E9" i="7"/>
  <c r="E5" i="7"/>
  <c r="E31" i="7" l="1"/>
  <c r="E6" i="7"/>
  <c r="E22" i="7"/>
  <c r="E23" i="7" s="1"/>
  <c r="E32" i="7"/>
  <c r="E17" i="7"/>
  <c r="E18" i="7" s="1"/>
  <c r="E10" i="7"/>
  <c r="H134" i="5"/>
  <c r="H135" i="5"/>
  <c r="H136" i="5"/>
  <c r="H137" i="5"/>
  <c r="H138" i="5"/>
  <c r="H139" i="5"/>
  <c r="H140" i="5"/>
  <c r="H133" i="5"/>
  <c r="J50" i="15" s="1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30" i="5"/>
  <c r="H131" i="5"/>
  <c r="H110" i="5"/>
  <c r="H111" i="5"/>
  <c r="H109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3" i="5"/>
  <c r="H94" i="5"/>
  <c r="H95" i="5"/>
  <c r="H96" i="5"/>
  <c r="H97" i="5"/>
  <c r="H101" i="5"/>
  <c r="H102" i="5"/>
  <c r="H103" i="5"/>
  <c r="H104" i="5"/>
  <c r="H105" i="5"/>
  <c r="H106" i="5"/>
  <c r="H66" i="5"/>
  <c r="H57" i="5"/>
  <c r="H58" i="5"/>
  <c r="H59" i="5"/>
  <c r="H60" i="5"/>
  <c r="H61" i="5"/>
  <c r="H62" i="5"/>
  <c r="H63" i="5"/>
  <c r="H64" i="5"/>
  <c r="H56" i="5"/>
  <c r="H54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33" i="5"/>
  <c r="H21" i="5"/>
  <c r="H22" i="5"/>
  <c r="H23" i="5"/>
  <c r="H24" i="5"/>
  <c r="H25" i="5"/>
  <c r="H26" i="5"/>
  <c r="H27" i="5"/>
  <c r="H28" i="5"/>
  <c r="H29" i="5"/>
  <c r="H30" i="5"/>
  <c r="H31" i="5"/>
  <c r="H20" i="5"/>
  <c r="H11" i="5"/>
  <c r="H12" i="5"/>
  <c r="H13" i="5"/>
  <c r="H14" i="5"/>
  <c r="H15" i="5"/>
  <c r="H16" i="5"/>
  <c r="H17" i="5"/>
  <c r="H10" i="5"/>
  <c r="H8" i="5"/>
  <c r="H6" i="5"/>
  <c r="G5" i="15" l="1"/>
  <c r="G50" i="15"/>
  <c r="D50" i="15"/>
  <c r="E37" i="7"/>
  <c r="E38" i="7" s="1"/>
  <c r="F88" i="5"/>
  <c r="W57" i="13"/>
  <c r="D24" i="13"/>
  <c r="D21" i="13"/>
  <c r="D19" i="13"/>
  <c r="D16" i="13"/>
  <c r="D14" i="13"/>
  <c r="D12" i="13"/>
  <c r="D11" i="13"/>
  <c r="D10" i="13"/>
  <c r="M21" i="13"/>
  <c r="J42" i="15"/>
  <c r="I42" i="15"/>
  <c r="H42" i="15"/>
  <c r="G42" i="15"/>
  <c r="E42" i="15"/>
  <c r="D42" i="15"/>
  <c r="C42" i="15"/>
  <c r="J6" i="15"/>
  <c r="J47" i="15" s="1"/>
  <c r="I6" i="15"/>
  <c r="H6" i="15"/>
  <c r="G6" i="15"/>
  <c r="E6" i="15"/>
  <c r="E47" i="15" s="1"/>
  <c r="D6" i="15"/>
  <c r="N135" i="6"/>
  <c r="U54" i="13"/>
  <c r="U7" i="13"/>
  <c r="V18" i="13"/>
  <c r="V9" i="13"/>
  <c r="N55" i="13"/>
  <c r="H55" i="13"/>
  <c r="H52" i="13"/>
  <c r="H23" i="13"/>
  <c r="H22" i="13"/>
  <c r="H21" i="13"/>
  <c r="H20" i="13"/>
  <c r="H19" i="13"/>
  <c r="H13" i="13"/>
  <c r="U15" i="13"/>
  <c r="F24" i="13"/>
  <c r="F21" i="13"/>
  <c r="E37" i="13"/>
  <c r="D15" i="13"/>
  <c r="W20" i="13"/>
  <c r="W15" i="13"/>
  <c r="S16" i="13"/>
  <c r="G11" i="13"/>
  <c r="S11" i="13"/>
  <c r="S10" i="13"/>
  <c r="G10" i="13"/>
  <c r="G112" i="5"/>
  <c r="H112" i="5" s="1"/>
  <c r="E50" i="15" s="1"/>
  <c r="G108" i="5"/>
  <c r="H108" i="5" s="1"/>
  <c r="I50" i="15" s="1"/>
  <c r="G65" i="5"/>
  <c r="H65" i="5" s="1"/>
  <c r="F50" i="15" s="1"/>
  <c r="G55" i="5"/>
  <c r="H55" i="5" s="1"/>
  <c r="G32" i="5"/>
  <c r="H32" i="5" s="1"/>
  <c r="G19" i="5"/>
  <c r="H19" i="5" s="1"/>
  <c r="G9" i="5"/>
  <c r="H9" i="5" s="1"/>
  <c r="G7" i="5"/>
  <c r="H7" i="5" s="1"/>
  <c r="G5" i="5"/>
  <c r="O183" i="6"/>
  <c r="N183" i="6"/>
  <c r="M183" i="6"/>
  <c r="O181" i="6"/>
  <c r="M181" i="6"/>
  <c r="O179" i="6"/>
  <c r="N179" i="6"/>
  <c r="M179" i="6"/>
  <c r="M146" i="6"/>
  <c r="M148" i="6"/>
  <c r="O150" i="6"/>
  <c r="N150" i="6"/>
  <c r="M150" i="6"/>
  <c r="M149" i="6"/>
  <c r="O147" i="6"/>
  <c r="N147" i="6"/>
  <c r="M145" i="6"/>
  <c r="O144" i="6"/>
  <c r="N144" i="6"/>
  <c r="M144" i="6"/>
  <c r="O143" i="6"/>
  <c r="N143" i="6"/>
  <c r="M143" i="6"/>
  <c r="O149" i="6"/>
  <c r="N149" i="6"/>
  <c r="O148" i="6"/>
  <c r="N148" i="6"/>
  <c r="M147" i="6"/>
  <c r="O146" i="6"/>
  <c r="N146" i="6"/>
  <c r="O145" i="6"/>
  <c r="N145" i="6"/>
  <c r="O139" i="6"/>
  <c r="N139" i="6"/>
  <c r="M139" i="6"/>
  <c r="O138" i="6"/>
  <c r="N138" i="6"/>
  <c r="M138" i="6"/>
  <c r="O137" i="6"/>
  <c r="N137" i="6"/>
  <c r="M137" i="6"/>
  <c r="O136" i="6"/>
  <c r="N136" i="6"/>
  <c r="O135" i="6"/>
  <c r="M135" i="6"/>
  <c r="M134" i="6"/>
  <c r="O132" i="6"/>
  <c r="N132" i="6"/>
  <c r="M132" i="6"/>
  <c r="O130" i="6"/>
  <c r="N130" i="6"/>
  <c r="M130" i="6"/>
  <c r="O129" i="6"/>
  <c r="N129" i="6"/>
  <c r="M129" i="6"/>
  <c r="O128" i="6"/>
  <c r="N128" i="6"/>
  <c r="M128" i="6"/>
  <c r="O127" i="6"/>
  <c r="N127" i="6"/>
  <c r="M127" i="6"/>
  <c r="O126" i="6"/>
  <c r="N126" i="6"/>
  <c r="M126" i="6"/>
  <c r="O125" i="6"/>
  <c r="N125" i="6"/>
  <c r="M125" i="6"/>
  <c r="O124" i="6"/>
  <c r="N124" i="6"/>
  <c r="M124" i="6"/>
  <c r="O123" i="6"/>
  <c r="N123" i="6"/>
  <c r="M123" i="6"/>
  <c r="O121" i="6"/>
  <c r="N121" i="6"/>
  <c r="M121" i="6"/>
  <c r="M119" i="6"/>
  <c r="O118" i="6"/>
  <c r="N118" i="6"/>
  <c r="O116" i="6"/>
  <c r="N116" i="6"/>
  <c r="M116" i="6"/>
  <c r="O112" i="6"/>
  <c r="N112" i="6"/>
  <c r="M112" i="6"/>
  <c r="O111" i="6"/>
  <c r="N111" i="6"/>
  <c r="M110" i="6"/>
  <c r="O109" i="6"/>
  <c r="N109" i="6"/>
  <c r="M109" i="6"/>
  <c r="O108" i="6"/>
  <c r="N108" i="6"/>
  <c r="M108" i="6"/>
  <c r="O107" i="6"/>
  <c r="N107" i="6"/>
  <c r="M107" i="6"/>
  <c r="O104" i="6"/>
  <c r="N104" i="6"/>
  <c r="M104" i="6"/>
  <c r="O103" i="6"/>
  <c r="N103" i="6"/>
  <c r="M103" i="6"/>
  <c r="O102" i="6"/>
  <c r="N102" i="6"/>
  <c r="M102" i="6"/>
  <c r="O100" i="6"/>
  <c r="N100" i="6"/>
  <c r="M100" i="6"/>
  <c r="O99" i="6"/>
  <c r="N99" i="6"/>
  <c r="M99" i="6"/>
  <c r="O98" i="6"/>
  <c r="N98" i="6"/>
  <c r="O96" i="6"/>
  <c r="N96" i="6"/>
  <c r="M96" i="6"/>
  <c r="W88" i="6"/>
  <c r="O90" i="6"/>
  <c r="N90" i="6"/>
  <c r="M90" i="6"/>
  <c r="O87" i="6"/>
  <c r="N87" i="6"/>
  <c r="M87" i="6"/>
  <c r="O86" i="6"/>
  <c r="O84" i="6"/>
  <c r="N84" i="6"/>
  <c r="M84" i="6"/>
  <c r="O83" i="6"/>
  <c r="N83" i="6"/>
  <c r="M83" i="6"/>
  <c r="O82" i="6"/>
  <c r="N82" i="6"/>
  <c r="M82" i="6"/>
  <c r="O81" i="6"/>
  <c r="N81" i="6"/>
  <c r="M81" i="6"/>
  <c r="O80" i="6"/>
  <c r="N80" i="6"/>
  <c r="M80" i="6"/>
  <c r="O79" i="6"/>
  <c r="N79" i="6"/>
  <c r="M79" i="6"/>
  <c r="O78" i="6"/>
  <c r="N78" i="6"/>
  <c r="M78" i="6"/>
  <c r="O75" i="6"/>
  <c r="N75" i="6"/>
  <c r="O74" i="6"/>
  <c r="N74" i="6"/>
  <c r="N73" i="6"/>
  <c r="O71" i="6"/>
  <c r="N71" i="6"/>
  <c r="M71" i="6"/>
  <c r="O70" i="6"/>
  <c r="O67" i="6"/>
  <c r="N67" i="6"/>
  <c r="M67" i="6"/>
  <c r="O64" i="6"/>
  <c r="N64" i="6"/>
  <c r="M64" i="6"/>
  <c r="O63" i="6"/>
  <c r="N63" i="6"/>
  <c r="M63" i="6"/>
  <c r="O62" i="6"/>
  <c r="N62" i="6"/>
  <c r="M62" i="6"/>
  <c r="O59" i="6"/>
  <c r="N59" i="6"/>
  <c r="M59" i="6"/>
  <c r="O58" i="6"/>
  <c r="N58" i="6"/>
  <c r="M58" i="6"/>
  <c r="O57" i="6"/>
  <c r="N57" i="6"/>
  <c r="M57" i="6"/>
  <c r="O56" i="6"/>
  <c r="N56" i="6"/>
  <c r="M56" i="6"/>
  <c r="O55" i="6"/>
  <c r="N55" i="6"/>
  <c r="M55" i="6"/>
  <c r="O50" i="6"/>
  <c r="N50" i="6"/>
  <c r="M50" i="6"/>
  <c r="O49" i="6"/>
  <c r="O47" i="6"/>
  <c r="O45" i="6"/>
  <c r="N45" i="6"/>
  <c r="M45" i="6"/>
  <c r="O44" i="6"/>
  <c r="N44" i="6"/>
  <c r="M44" i="6"/>
  <c r="O43" i="6"/>
  <c r="N43" i="6"/>
  <c r="M43" i="6"/>
  <c r="O42" i="6"/>
  <c r="O41" i="6"/>
  <c r="N41" i="6"/>
  <c r="M41" i="6"/>
  <c r="O40" i="6"/>
  <c r="N40" i="6"/>
  <c r="M40" i="6"/>
  <c r="O38" i="6"/>
  <c r="N38" i="6"/>
  <c r="M38" i="6"/>
  <c r="O37" i="6"/>
  <c r="N37" i="6"/>
  <c r="M37" i="6"/>
  <c r="M35" i="6"/>
  <c r="M26" i="6"/>
  <c r="M25" i="6"/>
  <c r="O35" i="6"/>
  <c r="N35" i="6"/>
  <c r="O34" i="6"/>
  <c r="N34" i="6"/>
  <c r="O33" i="6"/>
  <c r="N33" i="6"/>
  <c r="O31" i="6"/>
  <c r="N31" i="6"/>
  <c r="O30" i="6"/>
  <c r="N30" i="6"/>
  <c r="O29" i="6"/>
  <c r="N29" i="6"/>
  <c r="O28" i="6"/>
  <c r="N28" i="6"/>
  <c r="O27" i="6"/>
  <c r="N27" i="6"/>
  <c r="O26" i="6"/>
  <c r="N26" i="6"/>
  <c r="O25" i="6"/>
  <c r="N25" i="6"/>
  <c r="O24" i="6"/>
  <c r="N24" i="6"/>
  <c r="O20" i="6"/>
  <c r="N19" i="6"/>
  <c r="O19" i="6"/>
  <c r="N18" i="6"/>
  <c r="O18" i="6"/>
  <c r="N16" i="6"/>
  <c r="O16" i="6"/>
  <c r="M16" i="6"/>
  <c r="M15" i="6"/>
  <c r="N13" i="6"/>
  <c r="O13" i="6"/>
  <c r="M13" i="6"/>
  <c r="N12" i="6"/>
  <c r="O12" i="6"/>
  <c r="M12" i="6"/>
  <c r="N11" i="6"/>
  <c r="O11" i="6"/>
  <c r="M11" i="6"/>
  <c r="G19" i="13"/>
  <c r="W174" i="6"/>
  <c r="V174" i="6"/>
  <c r="O182" i="6"/>
  <c r="O155" i="6"/>
  <c r="O119" i="6"/>
  <c r="O117" i="6"/>
  <c r="O115" i="6"/>
  <c r="O114" i="6"/>
  <c r="O105" i="6"/>
  <c r="O101" i="6"/>
  <c r="O51" i="6"/>
  <c r="O21" i="6"/>
  <c r="O17" i="6"/>
  <c r="N182" i="6"/>
  <c r="N155" i="6"/>
  <c r="N119" i="6"/>
  <c r="N117" i="6"/>
  <c r="N115" i="6"/>
  <c r="N114" i="6"/>
  <c r="N105" i="6"/>
  <c r="N101" i="6"/>
  <c r="N51" i="6"/>
  <c r="N21" i="6"/>
  <c r="N20" i="6"/>
  <c r="N17" i="6"/>
  <c r="M178" i="6"/>
  <c r="M177" i="6"/>
  <c r="M175" i="6"/>
  <c r="M174" i="6" s="1"/>
  <c r="M173" i="6"/>
  <c r="M172" i="6"/>
  <c r="M171" i="6"/>
  <c r="M170" i="6"/>
  <c r="M169" i="6"/>
  <c r="M166" i="6"/>
  <c r="M165" i="6"/>
  <c r="M164" i="6"/>
  <c r="M162" i="6"/>
  <c r="M182" i="6"/>
  <c r="M161" i="6"/>
  <c r="M159" i="6"/>
  <c r="M156" i="6"/>
  <c r="M155" i="6"/>
  <c r="M154" i="6"/>
  <c r="M117" i="6"/>
  <c r="M115" i="6"/>
  <c r="M114" i="6"/>
  <c r="M105" i="6"/>
  <c r="M101" i="6"/>
  <c r="M92" i="6"/>
  <c r="M75" i="6"/>
  <c r="M74" i="6"/>
  <c r="M51" i="6"/>
  <c r="M34" i="6"/>
  <c r="M33" i="6"/>
  <c r="M31" i="6"/>
  <c r="M30" i="6"/>
  <c r="M29" i="6"/>
  <c r="M28" i="6"/>
  <c r="M27" i="6"/>
  <c r="M24" i="6"/>
  <c r="M21" i="6"/>
  <c r="M20" i="6"/>
  <c r="M19" i="6"/>
  <c r="M18" i="6"/>
  <c r="M17" i="6"/>
  <c r="F65" i="5"/>
  <c r="F55" i="5"/>
  <c r="F32" i="5"/>
  <c r="F19" i="5"/>
  <c r="F9" i="5"/>
  <c r="F7" i="5"/>
  <c r="F5" i="5"/>
  <c r="F108" i="5"/>
  <c r="F112" i="5"/>
  <c r="F132" i="5"/>
  <c r="D140" i="5"/>
  <c r="D112" i="5"/>
  <c r="D111" i="5"/>
  <c r="D108" i="5" s="1"/>
  <c r="D109" i="5"/>
  <c r="D91" i="5"/>
  <c r="D90" i="5"/>
  <c r="D55" i="5"/>
  <c r="D52" i="5"/>
  <c r="D32" i="5" s="1"/>
  <c r="D19" i="5"/>
  <c r="D9" i="5"/>
  <c r="D7" i="5"/>
  <c r="D5" i="5"/>
  <c r="O178" i="6"/>
  <c r="N178" i="6"/>
  <c r="O177" i="6"/>
  <c r="N177" i="6"/>
  <c r="O176" i="6"/>
  <c r="N176" i="6"/>
  <c r="M176" i="6"/>
  <c r="O175" i="6"/>
  <c r="O174" i="6" s="1"/>
  <c r="O173" i="6"/>
  <c r="N173" i="6"/>
  <c r="O172" i="6"/>
  <c r="N172" i="6"/>
  <c r="O171" i="6"/>
  <c r="N171" i="6"/>
  <c r="O170" i="6"/>
  <c r="N170" i="6"/>
  <c r="O169" i="6"/>
  <c r="M167" i="6"/>
  <c r="O167" i="6"/>
  <c r="N167" i="6"/>
  <c r="O166" i="6"/>
  <c r="N166" i="6"/>
  <c r="O165" i="6"/>
  <c r="N165" i="6"/>
  <c r="N164" i="6"/>
  <c r="O162" i="6"/>
  <c r="N162" i="6"/>
  <c r="O161" i="6"/>
  <c r="N161" i="6"/>
  <c r="O160" i="6"/>
  <c r="N160" i="6"/>
  <c r="M160" i="6"/>
  <c r="O159" i="6"/>
  <c r="N159" i="6"/>
  <c r="M158" i="6"/>
  <c r="O156" i="6"/>
  <c r="N156" i="6"/>
  <c r="N154" i="6"/>
  <c r="M32" i="6" l="1"/>
  <c r="D65" i="5"/>
  <c r="D4" i="5"/>
  <c r="D26" i="7" s="1"/>
  <c r="I47" i="15"/>
  <c r="G4" i="5"/>
  <c r="H5" i="5"/>
  <c r="H50" i="15" s="1"/>
  <c r="N113" i="6"/>
  <c r="D27" i="7"/>
  <c r="F5" i="15"/>
  <c r="F47" i="15" s="1"/>
  <c r="V53" i="6"/>
  <c r="M118" i="6"/>
  <c r="L118" i="6" s="1"/>
  <c r="V7" i="13"/>
  <c r="V54" i="13"/>
  <c r="V57" i="13" s="1"/>
  <c r="V59" i="13" s="1"/>
  <c r="N181" i="6"/>
  <c r="D47" i="15"/>
  <c r="H27" i="7"/>
  <c r="G27" i="7"/>
  <c r="G132" i="5"/>
  <c r="H132" i="5" s="1"/>
  <c r="G28" i="7"/>
  <c r="H28" i="7"/>
  <c r="O180" i="6"/>
  <c r="V163" i="6"/>
  <c r="N175" i="6"/>
  <c r="N169" i="6"/>
  <c r="O164" i="6"/>
  <c r="O158" i="6"/>
  <c r="O157" i="6" s="1"/>
  <c r="N158" i="6"/>
  <c r="O154" i="6"/>
  <c r="T151" i="6"/>
  <c r="O142" i="6"/>
  <c r="O141" i="6" s="1"/>
  <c r="N142" i="6"/>
  <c r="N141" i="6" s="1"/>
  <c r="M142" i="6"/>
  <c r="O151" i="6"/>
  <c r="N151" i="6"/>
  <c r="M151" i="6"/>
  <c r="M136" i="6"/>
  <c r="O134" i="6"/>
  <c r="O133" i="6" s="1"/>
  <c r="O131" i="6" s="1"/>
  <c r="N134" i="6"/>
  <c r="N133" i="6" s="1"/>
  <c r="N131" i="6" s="1"/>
  <c r="M122" i="6"/>
  <c r="M120" i="6" s="1"/>
  <c r="T130" i="6"/>
  <c r="M111" i="6"/>
  <c r="O110" i="6"/>
  <c r="O106" i="6" s="1"/>
  <c r="N110" i="6"/>
  <c r="M98" i="6"/>
  <c r="W93" i="6"/>
  <c r="V93" i="6"/>
  <c r="O94" i="6"/>
  <c r="O93" i="6" s="1"/>
  <c r="N94" i="6"/>
  <c r="N93" i="6" s="1"/>
  <c r="M94" i="6"/>
  <c r="O92" i="6"/>
  <c r="N92" i="6"/>
  <c r="M89" i="6"/>
  <c r="M86" i="6"/>
  <c r="O89" i="6"/>
  <c r="O88" i="6" s="1"/>
  <c r="N89" i="6"/>
  <c r="N88" i="6" s="1"/>
  <c r="N86" i="6"/>
  <c r="N85" i="6" s="1"/>
  <c r="M73" i="6"/>
  <c r="M72" i="6" s="1"/>
  <c r="N70" i="6"/>
  <c r="N69" i="6" s="1"/>
  <c r="M70" i="6"/>
  <c r="O73" i="6"/>
  <c r="M66" i="6"/>
  <c r="M61" i="6"/>
  <c r="V65" i="6"/>
  <c r="O66" i="6"/>
  <c r="O65" i="6" s="1"/>
  <c r="N66" i="6"/>
  <c r="N65" i="6" s="1"/>
  <c r="O61" i="6"/>
  <c r="O60" i="6" s="1"/>
  <c r="N61" i="6"/>
  <c r="N60" i="6" s="1"/>
  <c r="O54" i="6"/>
  <c r="O53" i="6" s="1"/>
  <c r="N54" i="6"/>
  <c r="N53" i="6" s="1"/>
  <c r="M54" i="6"/>
  <c r="N49" i="6"/>
  <c r="N48" i="6" s="1"/>
  <c r="M49" i="6"/>
  <c r="N47" i="6"/>
  <c r="M47" i="6"/>
  <c r="T45" i="6"/>
  <c r="N42" i="6"/>
  <c r="N39" i="6" s="1"/>
  <c r="N36" i="6" s="1"/>
  <c r="M42" i="6"/>
  <c r="W9" i="6"/>
  <c r="N15" i="6"/>
  <c r="O15" i="6"/>
  <c r="O14" i="6" s="1"/>
  <c r="N10" i="6"/>
  <c r="N9" i="6" s="1"/>
  <c r="O10" i="6"/>
  <c r="O9" i="6" s="1"/>
  <c r="M10" i="6"/>
  <c r="G107" i="5"/>
  <c r="H107" i="5" s="1"/>
  <c r="G18" i="5"/>
  <c r="H18" i="5" s="1"/>
  <c r="D132" i="5"/>
  <c r="D12" i="7" s="1"/>
  <c r="D28" i="7"/>
  <c r="D18" i="5"/>
  <c r="D3" i="5" s="1"/>
  <c r="U113" i="6"/>
  <c r="T150" i="6"/>
  <c r="T176" i="6"/>
  <c r="V48" i="6"/>
  <c r="V46" i="6" s="1"/>
  <c r="U88" i="6"/>
  <c r="T47" i="6"/>
  <c r="T37" i="6"/>
  <c r="U14" i="6"/>
  <c r="U9" i="6"/>
  <c r="F12" i="7"/>
  <c r="F107" i="5"/>
  <c r="F8" i="7" s="1"/>
  <c r="F28" i="7"/>
  <c r="F27" i="7"/>
  <c r="W65" i="6"/>
  <c r="T13" i="6"/>
  <c r="T159" i="6"/>
  <c r="T83" i="6"/>
  <c r="T148" i="6"/>
  <c r="T128" i="6"/>
  <c r="W113" i="6"/>
  <c r="T31" i="6"/>
  <c r="T28" i="6"/>
  <c r="T173" i="6"/>
  <c r="T161" i="6"/>
  <c r="T160" i="6"/>
  <c r="L112" i="6"/>
  <c r="L55" i="6"/>
  <c r="L40" i="6"/>
  <c r="L25" i="6"/>
  <c r="L24" i="6"/>
  <c r="L21" i="6"/>
  <c r="L167" i="6"/>
  <c r="L155" i="6"/>
  <c r="W180" i="6"/>
  <c r="T81" i="6"/>
  <c r="T132" i="6"/>
  <c r="T24" i="6"/>
  <c r="L147" i="6"/>
  <c r="L138" i="6"/>
  <c r="T111" i="6"/>
  <c r="T172" i="6"/>
  <c r="T139" i="6"/>
  <c r="W157" i="6"/>
  <c r="T177" i="6"/>
  <c r="W168" i="6"/>
  <c r="W163" i="6"/>
  <c r="W153" i="6"/>
  <c r="T149" i="6"/>
  <c r="T138" i="6"/>
  <c r="T134" i="6"/>
  <c r="T129" i="6"/>
  <c r="T127" i="6"/>
  <c r="T126" i="6"/>
  <c r="W122" i="6"/>
  <c r="W120" i="6" s="1"/>
  <c r="T119" i="6"/>
  <c r="T115" i="6"/>
  <c r="T112" i="6"/>
  <c r="T108" i="6"/>
  <c r="T96" i="6"/>
  <c r="T82" i="6"/>
  <c r="W72" i="6"/>
  <c r="W69" i="6"/>
  <c r="T63" i="6"/>
  <c r="W60" i="6"/>
  <c r="W53" i="6"/>
  <c r="T55" i="6"/>
  <c r="T50" i="6"/>
  <c r="W48" i="6"/>
  <c r="W46" i="6" s="1"/>
  <c r="W39" i="6"/>
  <c r="W36" i="6" s="1"/>
  <c r="T43" i="6"/>
  <c r="T42" i="6"/>
  <c r="T41" i="6"/>
  <c r="W32" i="6"/>
  <c r="T27" i="6"/>
  <c r="T26" i="6"/>
  <c r="W14" i="6"/>
  <c r="T11" i="6"/>
  <c r="T183" i="6"/>
  <c r="T182" i="6"/>
  <c r="V180" i="6"/>
  <c r="T179" i="6"/>
  <c r="T178" i="6"/>
  <c r="V168" i="6"/>
  <c r="T171" i="6"/>
  <c r="T170" i="6"/>
  <c r="T167" i="6"/>
  <c r="T166" i="6"/>
  <c r="T165" i="6"/>
  <c r="T156" i="6"/>
  <c r="V153" i="6"/>
  <c r="T146" i="6"/>
  <c r="T145" i="6"/>
  <c r="T144" i="6"/>
  <c r="V141" i="6"/>
  <c r="T137" i="6"/>
  <c r="T125" i="6"/>
  <c r="T123" i="6"/>
  <c r="V122" i="6"/>
  <c r="T118" i="6"/>
  <c r="T117" i="6"/>
  <c r="T116" i="6"/>
  <c r="V113" i="6"/>
  <c r="T114" i="6"/>
  <c r="T107" i="6"/>
  <c r="V106" i="6"/>
  <c r="T105" i="6"/>
  <c r="T102" i="6"/>
  <c r="T101" i="6"/>
  <c r="T100" i="6"/>
  <c r="T99" i="6"/>
  <c r="T98" i="6"/>
  <c r="T90" i="6"/>
  <c r="T89" i="6"/>
  <c r="V88" i="6"/>
  <c r="T87" i="6"/>
  <c r="T86" i="6"/>
  <c r="T80" i="6"/>
  <c r="V77" i="6"/>
  <c r="T75" i="6"/>
  <c r="T74" i="6"/>
  <c r="T67" i="6"/>
  <c r="T64" i="6"/>
  <c r="T59" i="6"/>
  <c r="T58" i="6"/>
  <c r="T57" i="6"/>
  <c r="T56" i="6"/>
  <c r="T51" i="6"/>
  <c r="T44" i="6"/>
  <c r="T29" i="6"/>
  <c r="T21" i="6"/>
  <c r="T20" i="6"/>
  <c r="T19" i="6"/>
  <c r="T18" i="6"/>
  <c r="T17" i="6"/>
  <c r="T16" i="6"/>
  <c r="T175" i="6"/>
  <c r="T174" i="6" s="1"/>
  <c r="U174" i="6"/>
  <c r="T155" i="6"/>
  <c r="T143" i="6"/>
  <c r="U140" i="6"/>
  <c r="T124" i="6"/>
  <c r="U122" i="6"/>
  <c r="U120" i="6" s="1"/>
  <c r="T84" i="6"/>
  <c r="U72" i="6"/>
  <c r="T71" i="6"/>
  <c r="U69" i="6"/>
  <c r="U32" i="6"/>
  <c r="T34" i="6"/>
  <c r="T30" i="6"/>
  <c r="V23" i="6"/>
  <c r="W97" i="6"/>
  <c r="V97" i="6"/>
  <c r="U23" i="6"/>
  <c r="L161" i="6"/>
  <c r="L160" i="6"/>
  <c r="L159" i="6"/>
  <c r="L156" i="6"/>
  <c r="L128" i="6"/>
  <c r="L127" i="6"/>
  <c r="L117" i="6"/>
  <c r="L99" i="6"/>
  <c r="O48" i="6"/>
  <c r="O46" i="6" s="1"/>
  <c r="O39" i="6"/>
  <c r="O36" i="6" s="1"/>
  <c r="T110" i="6"/>
  <c r="U106" i="6"/>
  <c r="W106" i="6"/>
  <c r="T109" i="6"/>
  <c r="U77" i="6"/>
  <c r="T79" i="6"/>
  <c r="T12" i="6"/>
  <c r="T147" i="6"/>
  <c r="W133" i="6"/>
  <c r="W131" i="6" s="1"/>
  <c r="T103" i="6"/>
  <c r="W85" i="6"/>
  <c r="V85" i="6"/>
  <c r="U85" i="6"/>
  <c r="L183" i="6"/>
  <c r="O168" i="6"/>
  <c r="L149" i="6"/>
  <c r="O32" i="6"/>
  <c r="L27" i="6"/>
  <c r="N153" i="6"/>
  <c r="L145" i="6"/>
  <c r="L124" i="6"/>
  <c r="L119" i="6"/>
  <c r="M168" i="6"/>
  <c r="L13" i="6"/>
  <c r="T104" i="6"/>
  <c r="U97" i="6"/>
  <c r="T78" i="6"/>
  <c r="W77" i="6"/>
  <c r="T25" i="6"/>
  <c r="W23" i="6"/>
  <c r="M157" i="6"/>
  <c r="L162" i="6"/>
  <c r="T169" i="6"/>
  <c r="U168" i="6"/>
  <c r="T136" i="6"/>
  <c r="V133" i="6"/>
  <c r="V131" i="6" s="1"/>
  <c r="T121" i="6"/>
  <c r="U39" i="6"/>
  <c r="T40" i="6"/>
  <c r="T38" i="6"/>
  <c r="L125" i="6"/>
  <c r="O122" i="6"/>
  <c r="O120" i="6" s="1"/>
  <c r="L103" i="6"/>
  <c r="O85" i="6"/>
  <c r="O77" i="6"/>
  <c r="O69" i="6"/>
  <c r="L57" i="6"/>
  <c r="L29" i="6"/>
  <c r="L176" i="6"/>
  <c r="N163" i="6"/>
  <c r="N122" i="6"/>
  <c r="N120" i="6" s="1"/>
  <c r="L123" i="6"/>
  <c r="L121" i="6"/>
  <c r="L87" i="6"/>
  <c r="N77" i="6"/>
  <c r="L74" i="6"/>
  <c r="N72" i="6"/>
  <c r="L43" i="6"/>
  <c r="L33" i="6"/>
  <c r="N32" i="6"/>
  <c r="L12" i="6"/>
  <c r="L172" i="6"/>
  <c r="L170" i="6"/>
  <c r="L165" i="6"/>
  <c r="L178" i="6"/>
  <c r="L166" i="6"/>
  <c r="M163" i="6"/>
  <c r="L100" i="6"/>
  <c r="L81" i="6"/>
  <c r="L75" i="6"/>
  <c r="L62" i="6"/>
  <c r="L51" i="6"/>
  <c r="L45" i="6"/>
  <c r="L44" i="6"/>
  <c r="L38" i="6"/>
  <c r="L35" i="6"/>
  <c r="L34" i="6"/>
  <c r="L31" i="6"/>
  <c r="L30" i="6"/>
  <c r="L28" i="6"/>
  <c r="L20" i="6"/>
  <c r="L19" i="6"/>
  <c r="L18" i="6"/>
  <c r="L16" i="6"/>
  <c r="N97" i="6"/>
  <c r="L137" i="6"/>
  <c r="L96" i="6"/>
  <c r="L83" i="6"/>
  <c r="L173" i="6"/>
  <c r="L150" i="6"/>
  <c r="L139" i="6"/>
  <c r="L130" i="6"/>
  <c r="L116" i="6"/>
  <c r="L109" i="6"/>
  <c r="L102" i="6"/>
  <c r="L82" i="6"/>
  <c r="L71" i="6"/>
  <c r="L63" i="6"/>
  <c r="L80" i="6"/>
  <c r="L64" i="6"/>
  <c r="L58" i="6"/>
  <c r="O23" i="6"/>
  <c r="L179" i="6"/>
  <c r="L146" i="6"/>
  <c r="L129" i="6"/>
  <c r="L101" i="6"/>
  <c r="L90" i="6"/>
  <c r="L79" i="6"/>
  <c r="L67" i="6"/>
  <c r="L50" i="6"/>
  <c r="L177" i="6"/>
  <c r="L171" i="6"/>
  <c r="L148" i="6"/>
  <c r="L144" i="6"/>
  <c r="L126" i="6"/>
  <c r="L84" i="6"/>
  <c r="L59" i="6"/>
  <c r="O113" i="6"/>
  <c r="L114" i="6"/>
  <c r="L107" i="6"/>
  <c r="L182" i="6"/>
  <c r="M180" i="6"/>
  <c r="M153" i="6"/>
  <c r="L143" i="6"/>
  <c r="L135" i="6"/>
  <c r="L132" i="6"/>
  <c r="M113" i="6"/>
  <c r="L115" i="6"/>
  <c r="L108" i="6"/>
  <c r="M77" i="6"/>
  <c r="L78" i="6"/>
  <c r="L56" i="6"/>
  <c r="L41" i="6"/>
  <c r="L37" i="6"/>
  <c r="M23" i="6"/>
  <c r="M22" i="6" s="1"/>
  <c r="M14" i="6"/>
  <c r="L17" i="6"/>
  <c r="L11" i="6"/>
  <c r="L105" i="6"/>
  <c r="L104" i="6"/>
  <c r="O97" i="6"/>
  <c r="N23" i="6"/>
  <c r="L26" i="6"/>
  <c r="F18" i="5"/>
  <c r="F4" i="5"/>
  <c r="F26" i="7" s="1"/>
  <c r="D107" i="5"/>
  <c r="D8" i="7" s="1"/>
  <c r="D36" i="7" l="1"/>
  <c r="G26" i="7"/>
  <c r="H4" i="5"/>
  <c r="H26" i="7" s="1"/>
  <c r="W8" i="6"/>
  <c r="T88" i="6"/>
  <c r="L92" i="6"/>
  <c r="G47" i="15"/>
  <c r="L181" i="6"/>
  <c r="L180" i="6" s="1"/>
  <c r="N180" i="6"/>
  <c r="N140" i="6"/>
  <c r="G36" i="7"/>
  <c r="U68" i="6"/>
  <c r="W68" i="6"/>
  <c r="L151" i="6"/>
  <c r="N174" i="6"/>
  <c r="L175" i="6"/>
  <c r="L174" i="6" s="1"/>
  <c r="L136" i="6"/>
  <c r="M133" i="6"/>
  <c r="M131" i="6" s="1"/>
  <c r="H12" i="7"/>
  <c r="G12" i="7"/>
  <c r="O91" i="6"/>
  <c r="G3" i="5"/>
  <c r="H8" i="7"/>
  <c r="V62" i="13" s="1"/>
  <c r="G8" i="7"/>
  <c r="V120" i="6"/>
  <c r="L134" i="6"/>
  <c r="V140" i="6"/>
  <c r="V36" i="6"/>
  <c r="M88" i="6"/>
  <c r="L89" i="6"/>
  <c r="L88" i="6" s="1"/>
  <c r="U60" i="6"/>
  <c r="T62" i="6"/>
  <c r="L169" i="6"/>
  <c r="L168" i="6" s="1"/>
  <c r="N168" i="6"/>
  <c r="W91" i="6"/>
  <c r="M85" i="6"/>
  <c r="L86" i="6"/>
  <c r="L85" i="6" s="1"/>
  <c r="O163" i="6"/>
  <c r="L164" i="6"/>
  <c r="L163" i="6" s="1"/>
  <c r="N157" i="6"/>
  <c r="L158" i="6"/>
  <c r="L157" i="6" s="1"/>
  <c r="L154" i="6"/>
  <c r="L153" i="6" s="1"/>
  <c r="O153" i="6"/>
  <c r="O140" i="6"/>
  <c r="W141" i="6"/>
  <c r="W140" i="6" s="1"/>
  <c r="T142" i="6"/>
  <c r="T141" i="6" s="1"/>
  <c r="T140" i="6" s="1"/>
  <c r="L142" i="6"/>
  <c r="L141" i="6" s="1"/>
  <c r="M141" i="6"/>
  <c r="M140" i="6" s="1"/>
  <c r="N106" i="6"/>
  <c r="N95" i="6" s="1"/>
  <c r="L110" i="6"/>
  <c r="M106" i="6"/>
  <c r="L111" i="6"/>
  <c r="L98" i="6"/>
  <c r="L97" i="6" s="1"/>
  <c r="M97" i="6"/>
  <c r="V91" i="6"/>
  <c r="N91" i="6"/>
  <c r="T92" i="6"/>
  <c r="U93" i="6"/>
  <c r="U91" i="6" s="1"/>
  <c r="T94" i="6"/>
  <c r="T93" i="6" s="1"/>
  <c r="M93" i="6"/>
  <c r="M91" i="6" s="1"/>
  <c r="L94" i="6"/>
  <c r="L93" i="6" s="1"/>
  <c r="V72" i="6"/>
  <c r="T73" i="6"/>
  <c r="T72" i="6" s="1"/>
  <c r="T70" i="6"/>
  <c r="T69" i="6" s="1"/>
  <c r="V69" i="6"/>
  <c r="M69" i="6"/>
  <c r="M68" i="6" s="1"/>
  <c r="L70" i="6"/>
  <c r="L69" i="6" s="1"/>
  <c r="O72" i="6"/>
  <c r="O68" i="6" s="1"/>
  <c r="L73" i="6"/>
  <c r="L72" i="6" s="1"/>
  <c r="M65" i="6"/>
  <c r="L66" i="6"/>
  <c r="L65" i="6" s="1"/>
  <c r="L61" i="6"/>
  <c r="L60" i="6" s="1"/>
  <c r="M60" i="6"/>
  <c r="T61" i="6"/>
  <c r="V52" i="6"/>
  <c r="L54" i="6"/>
  <c r="L53" i="6" s="1"/>
  <c r="M53" i="6"/>
  <c r="N46" i="6"/>
  <c r="M48" i="6"/>
  <c r="M46" i="6" s="1"/>
  <c r="L49" i="6"/>
  <c r="L48" i="6" s="1"/>
  <c r="L47" i="6"/>
  <c r="L42" i="6"/>
  <c r="L39" i="6" s="1"/>
  <c r="L36" i="6" s="1"/>
  <c r="M39" i="6"/>
  <c r="M36" i="6" s="1"/>
  <c r="T33" i="6"/>
  <c r="T32" i="6" s="1"/>
  <c r="V32" i="6"/>
  <c r="V22" i="6" s="1"/>
  <c r="T15" i="6"/>
  <c r="T14" i="6" s="1"/>
  <c r="V14" i="6"/>
  <c r="T10" i="6"/>
  <c r="T9" i="6" s="1"/>
  <c r="V9" i="6"/>
  <c r="L15" i="6"/>
  <c r="L14" i="6" s="1"/>
  <c r="N14" i="6"/>
  <c r="N8" i="6" s="1"/>
  <c r="L10" i="6"/>
  <c r="L9" i="6" s="1"/>
  <c r="M9" i="6"/>
  <c r="M8" i="6" s="1"/>
  <c r="U133" i="6"/>
  <c r="U131" i="6" s="1"/>
  <c r="T135" i="6"/>
  <c r="T133" i="6" s="1"/>
  <c r="T131" i="6" s="1"/>
  <c r="D4" i="7"/>
  <c r="D141" i="5"/>
  <c r="T66" i="6"/>
  <c r="T65" i="6" s="1"/>
  <c r="U65" i="6"/>
  <c r="V157" i="6"/>
  <c r="V152" i="6" s="1"/>
  <c r="T162" i="6"/>
  <c r="U157" i="6"/>
  <c r="T158" i="6"/>
  <c r="T49" i="6"/>
  <c r="T48" i="6" s="1"/>
  <c r="T46" i="6" s="1"/>
  <c r="U48" i="6"/>
  <c r="U46" i="6" s="1"/>
  <c r="O8" i="6"/>
  <c r="T181" i="6"/>
  <c r="T180" i="6" s="1"/>
  <c r="U180" i="6"/>
  <c r="T164" i="6"/>
  <c r="T163" i="6" s="1"/>
  <c r="U163" i="6"/>
  <c r="T154" i="6"/>
  <c r="T153" i="6" s="1"/>
  <c r="U153" i="6"/>
  <c r="U53" i="6"/>
  <c r="T54" i="6"/>
  <c r="T53" i="6" s="1"/>
  <c r="U36" i="6"/>
  <c r="F36" i="7"/>
  <c r="O52" i="6"/>
  <c r="M152" i="6"/>
  <c r="N52" i="6"/>
  <c r="T168" i="6"/>
  <c r="W152" i="6"/>
  <c r="T113" i="6"/>
  <c r="T85" i="6"/>
  <c r="W52" i="6"/>
  <c r="T39" i="6"/>
  <c r="T36" i="6" s="1"/>
  <c r="W22" i="6"/>
  <c r="T122" i="6"/>
  <c r="T120" i="6" s="1"/>
  <c r="V95" i="6"/>
  <c r="V76" i="6"/>
  <c r="T23" i="6"/>
  <c r="T106" i="6"/>
  <c r="T97" i="6"/>
  <c r="U76" i="6"/>
  <c r="U22" i="6"/>
  <c r="W95" i="6"/>
  <c r="U95" i="6"/>
  <c r="T77" i="6"/>
  <c r="O22" i="6"/>
  <c r="N68" i="6"/>
  <c r="L32" i="6"/>
  <c r="W76" i="6"/>
  <c r="U8" i="6"/>
  <c r="O95" i="6"/>
  <c r="O76" i="6"/>
  <c r="L122" i="6"/>
  <c r="L120" i="6" s="1"/>
  <c r="N76" i="6"/>
  <c r="L77" i="6"/>
  <c r="N22" i="6"/>
  <c r="L23" i="6"/>
  <c r="L113" i="6"/>
  <c r="F3" i="5"/>
  <c r="F4" i="7" s="1"/>
  <c r="C135" i="5"/>
  <c r="C91" i="5"/>
  <c r="C86" i="5"/>
  <c r="C87" i="5"/>
  <c r="C84" i="5"/>
  <c r="C89" i="5"/>
  <c r="C88" i="5"/>
  <c r="C82" i="5"/>
  <c r="C64" i="5"/>
  <c r="H36" i="7" l="1"/>
  <c r="G141" i="5"/>
  <c r="H141" i="5" s="1"/>
  <c r="G4" i="7"/>
  <c r="G16" i="7" s="1"/>
  <c r="H3" i="5"/>
  <c r="H4" i="7" s="1"/>
  <c r="S62" i="13" s="1"/>
  <c r="L91" i="6"/>
  <c r="W62" i="13"/>
  <c r="V68" i="6"/>
  <c r="O152" i="6"/>
  <c r="O6" i="6" s="1"/>
  <c r="D13" i="7" s="1"/>
  <c r="L140" i="6"/>
  <c r="L133" i="6"/>
  <c r="L131" i="6" s="1"/>
  <c r="H13" i="7"/>
  <c r="H14" i="7" s="1"/>
  <c r="N152" i="6"/>
  <c r="N6" i="6" s="1"/>
  <c r="D9" i="7" s="1"/>
  <c r="V8" i="6"/>
  <c r="L106" i="6"/>
  <c r="L95" i="6" s="1"/>
  <c r="M76" i="6"/>
  <c r="T60" i="6"/>
  <c r="T52" i="6" s="1"/>
  <c r="M52" i="6"/>
  <c r="L46" i="6"/>
  <c r="T157" i="6"/>
  <c r="T152" i="6" s="1"/>
  <c r="G13" i="7"/>
  <c r="M95" i="6"/>
  <c r="L68" i="6"/>
  <c r="T91" i="6"/>
  <c r="D16" i="7"/>
  <c r="D21" i="7"/>
  <c r="U52" i="6"/>
  <c r="U152" i="6"/>
  <c r="F141" i="5"/>
  <c r="T68" i="6"/>
  <c r="T22" i="6"/>
  <c r="T76" i="6"/>
  <c r="L152" i="6"/>
  <c r="L76" i="6"/>
  <c r="T95" i="6"/>
  <c r="T8" i="6"/>
  <c r="W6" i="6"/>
  <c r="F13" i="7" s="1"/>
  <c r="L22" i="6"/>
  <c r="L52" i="6"/>
  <c r="L8" i="6"/>
  <c r="C53" i="5"/>
  <c r="G21" i="7" l="1"/>
  <c r="V6" i="6"/>
  <c r="F9" i="7" s="1"/>
  <c r="F10" i="7" s="1"/>
  <c r="G33" i="7"/>
  <c r="G14" i="7"/>
  <c r="H33" i="7"/>
  <c r="R62" i="13"/>
  <c r="M6" i="6"/>
  <c r="D5" i="7" s="1"/>
  <c r="H16" i="7"/>
  <c r="D49" i="15" s="1"/>
  <c r="H21" i="7"/>
  <c r="U6" i="6"/>
  <c r="F16" i="7"/>
  <c r="F21" i="7"/>
  <c r="D33" i="7"/>
  <c r="D14" i="7"/>
  <c r="L6" i="6"/>
  <c r="F14" i="7"/>
  <c r="F33" i="7"/>
  <c r="T6" i="6"/>
  <c r="D10" i="7"/>
  <c r="D32" i="7"/>
  <c r="C52" i="5"/>
  <c r="C22" i="5"/>
  <c r="C63" i="5"/>
  <c r="F32" i="7" l="1"/>
  <c r="D6" i="7"/>
  <c r="D31" i="7"/>
  <c r="D37" i="7" s="1"/>
  <c r="D38" i="7" s="1"/>
  <c r="D17" i="7"/>
  <c r="D18" i="7" s="1"/>
  <c r="D22" i="7"/>
  <c r="D23" i="7" s="1"/>
  <c r="F5" i="7"/>
  <c r="F31" i="7" l="1"/>
  <c r="F37" i="7" s="1"/>
  <c r="F38" i="7" s="1"/>
  <c r="F22" i="7"/>
  <c r="F23" i="7" s="1"/>
  <c r="F17" i="7"/>
  <c r="F18" i="7" s="1"/>
  <c r="F6" i="7"/>
  <c r="D25" i="13"/>
  <c r="C11" i="5" l="1"/>
  <c r="E54" i="13" l="1"/>
  <c r="Q51" i="13" l="1"/>
  <c r="C19" i="5" l="1"/>
  <c r="K27" i="13" l="1"/>
  <c r="K26" i="13"/>
  <c r="K24" i="13"/>
  <c r="P27" i="13" l="1"/>
  <c r="P26" i="13"/>
  <c r="N52" i="13"/>
  <c r="C26" i="13" l="1"/>
  <c r="J26" i="13" s="1"/>
  <c r="C27" i="13"/>
  <c r="J27" i="13" s="1"/>
  <c r="P56" i="13" l="1"/>
  <c r="O56" i="13" s="1"/>
  <c r="N56" i="13"/>
  <c r="C38" i="12" l="1"/>
  <c r="E38" i="12"/>
  <c r="C5" i="5" l="1"/>
  <c r="K182" i="6" l="1"/>
  <c r="K181" i="6"/>
  <c r="K178" i="6"/>
  <c r="K177" i="6"/>
  <c r="K176" i="6"/>
  <c r="K175" i="6"/>
  <c r="K174" i="6" s="1"/>
  <c r="K173" i="6"/>
  <c r="K172" i="6"/>
  <c r="K171" i="6"/>
  <c r="K170" i="6"/>
  <c r="K169" i="6"/>
  <c r="K167" i="6"/>
  <c r="K166" i="6"/>
  <c r="K165" i="6"/>
  <c r="K164" i="6"/>
  <c r="K161" i="6"/>
  <c r="K160" i="6"/>
  <c r="K159" i="6"/>
  <c r="K158" i="6"/>
  <c r="K156" i="6"/>
  <c r="K155" i="6"/>
  <c r="K154" i="6"/>
  <c r="K139" i="6"/>
  <c r="K138" i="6"/>
  <c r="K136" i="6"/>
  <c r="K135" i="6"/>
  <c r="K134" i="6"/>
  <c r="K132" i="6"/>
  <c r="K130" i="6"/>
  <c r="K129" i="6"/>
  <c r="K128" i="6"/>
  <c r="K127" i="6"/>
  <c r="K126" i="6"/>
  <c r="K125" i="6"/>
  <c r="K124" i="6"/>
  <c r="K123" i="6"/>
  <c r="K121" i="6"/>
  <c r="K119" i="6"/>
  <c r="K118" i="6"/>
  <c r="K117" i="6"/>
  <c r="K116" i="6"/>
  <c r="K115" i="6"/>
  <c r="K114" i="6"/>
  <c r="K112" i="6"/>
  <c r="K111" i="6"/>
  <c r="K110" i="6"/>
  <c r="K109" i="6"/>
  <c r="K108" i="6"/>
  <c r="K107" i="6"/>
  <c r="K105" i="6"/>
  <c r="K104" i="6"/>
  <c r="K103" i="6"/>
  <c r="K102" i="6"/>
  <c r="K101" i="6"/>
  <c r="K100" i="6"/>
  <c r="K99" i="6"/>
  <c r="K98" i="6"/>
  <c r="K96" i="6"/>
  <c r="K94" i="6"/>
  <c r="K92" i="6"/>
  <c r="K90" i="6"/>
  <c r="K89" i="6"/>
  <c r="K87" i="6"/>
  <c r="K86" i="6"/>
  <c r="K84" i="6"/>
  <c r="K83" i="6"/>
  <c r="K82" i="6"/>
  <c r="K81" i="6"/>
  <c r="K80" i="6"/>
  <c r="K79" i="6"/>
  <c r="K78" i="6"/>
  <c r="K75" i="6"/>
  <c r="K74" i="6"/>
  <c r="K73" i="6"/>
  <c r="K71" i="6"/>
  <c r="K70" i="6"/>
  <c r="K67" i="6"/>
  <c r="K66" i="6"/>
  <c r="K64" i="6"/>
  <c r="K63" i="6"/>
  <c r="K62" i="6"/>
  <c r="K61" i="6"/>
  <c r="K59" i="6"/>
  <c r="K58" i="6"/>
  <c r="K57" i="6"/>
  <c r="K56" i="6"/>
  <c r="K55" i="6"/>
  <c r="K54" i="6"/>
  <c r="K51" i="6"/>
  <c r="K50" i="6"/>
  <c r="K49" i="6"/>
  <c r="K47" i="6"/>
  <c r="K45" i="6"/>
  <c r="K44" i="6"/>
  <c r="K43" i="6"/>
  <c r="K42" i="6"/>
  <c r="K41" i="6"/>
  <c r="K40" i="6"/>
  <c r="K38" i="6"/>
  <c r="K37" i="6"/>
  <c r="K35" i="6"/>
  <c r="K34" i="6"/>
  <c r="K33" i="6"/>
  <c r="K31" i="6"/>
  <c r="K30" i="6"/>
  <c r="K29" i="6"/>
  <c r="K28" i="6"/>
  <c r="K27" i="6"/>
  <c r="K26" i="6"/>
  <c r="K25" i="6"/>
  <c r="K24" i="6"/>
  <c r="K21" i="6"/>
  <c r="K20" i="6"/>
  <c r="K19" i="6"/>
  <c r="K18" i="6"/>
  <c r="K17" i="6"/>
  <c r="K16" i="6"/>
  <c r="K15" i="6"/>
  <c r="K13" i="6"/>
  <c r="K12" i="6"/>
  <c r="K11" i="6"/>
  <c r="K10" i="6"/>
  <c r="J182" i="6"/>
  <c r="J179" i="6"/>
  <c r="J178" i="6"/>
  <c r="J177" i="6"/>
  <c r="J176" i="6"/>
  <c r="J175" i="6"/>
  <c r="J174" i="6" s="1"/>
  <c r="J173" i="6"/>
  <c r="J172" i="6"/>
  <c r="J171" i="6"/>
  <c r="J170" i="6"/>
  <c r="J169" i="6"/>
  <c r="J167" i="6"/>
  <c r="J166" i="6"/>
  <c r="J165" i="6"/>
  <c r="J164" i="6"/>
  <c r="J161" i="6"/>
  <c r="J160" i="6"/>
  <c r="J159" i="6"/>
  <c r="J158" i="6"/>
  <c r="J156" i="6"/>
  <c r="J155" i="6"/>
  <c r="J154" i="6"/>
  <c r="J139" i="6"/>
  <c r="J138" i="6"/>
  <c r="J137" i="6"/>
  <c r="J134" i="6"/>
  <c r="J132" i="6"/>
  <c r="J130" i="6"/>
  <c r="J129" i="6"/>
  <c r="J128" i="6"/>
  <c r="J127" i="6"/>
  <c r="J126" i="6"/>
  <c r="J125" i="6"/>
  <c r="J124" i="6"/>
  <c r="J123" i="6"/>
  <c r="J121" i="6"/>
  <c r="J119" i="6"/>
  <c r="J118" i="6"/>
  <c r="J117" i="6"/>
  <c r="J116" i="6"/>
  <c r="J115" i="6"/>
  <c r="J114" i="6"/>
  <c r="J112" i="6"/>
  <c r="J111" i="6"/>
  <c r="J110" i="6"/>
  <c r="J108" i="6"/>
  <c r="J105" i="6"/>
  <c r="J103" i="6"/>
  <c r="J101" i="6"/>
  <c r="J100" i="6"/>
  <c r="J99" i="6"/>
  <c r="J96" i="6"/>
  <c r="J94" i="6"/>
  <c r="J93" i="6" s="1"/>
  <c r="J92" i="6"/>
  <c r="J90" i="6"/>
  <c r="J86" i="6"/>
  <c r="J84" i="6"/>
  <c r="J83" i="6"/>
  <c r="J82" i="6"/>
  <c r="J81" i="6"/>
  <c r="J80" i="6"/>
  <c r="J78" i="6"/>
  <c r="J75" i="6"/>
  <c r="J74" i="6"/>
  <c r="J73" i="6"/>
  <c r="J71" i="6"/>
  <c r="J70" i="6"/>
  <c r="J67" i="6"/>
  <c r="J66" i="6"/>
  <c r="J64" i="6"/>
  <c r="J63" i="6"/>
  <c r="J62" i="6"/>
  <c r="J61" i="6"/>
  <c r="J59" i="6"/>
  <c r="J58" i="6"/>
  <c r="J57" i="6"/>
  <c r="J56" i="6"/>
  <c r="J51" i="6"/>
  <c r="J50" i="6"/>
  <c r="J47" i="6"/>
  <c r="J45" i="6"/>
  <c r="J44" i="6"/>
  <c r="J42" i="6"/>
  <c r="J41" i="6"/>
  <c r="J40" i="6"/>
  <c r="J38" i="6"/>
  <c r="J37" i="6"/>
  <c r="J35" i="6"/>
  <c r="J34" i="6"/>
  <c r="J33" i="6"/>
  <c r="J31" i="6"/>
  <c r="J30" i="6"/>
  <c r="J29" i="6"/>
  <c r="J28" i="6"/>
  <c r="J27" i="6"/>
  <c r="J26" i="6"/>
  <c r="J25" i="6"/>
  <c r="J24" i="6"/>
  <c r="J21" i="6"/>
  <c r="J20" i="6"/>
  <c r="J19" i="6"/>
  <c r="J16" i="6"/>
  <c r="J15" i="6"/>
  <c r="J13" i="6"/>
  <c r="J12" i="6"/>
  <c r="J10" i="6"/>
  <c r="I182" i="6"/>
  <c r="I173" i="6"/>
  <c r="I165" i="6"/>
  <c r="I160" i="6"/>
  <c r="I155" i="6"/>
  <c r="I139" i="6"/>
  <c r="I138" i="6"/>
  <c r="I119" i="6"/>
  <c r="I117" i="6"/>
  <c r="I115" i="6"/>
  <c r="I114" i="6"/>
  <c r="I105" i="6"/>
  <c r="I101" i="6"/>
  <c r="I94" i="6"/>
  <c r="I93" i="6" s="1"/>
  <c r="I86" i="6"/>
  <c r="I84" i="6"/>
  <c r="I83" i="6"/>
  <c r="I79" i="6"/>
  <c r="I78" i="6"/>
  <c r="I74" i="6"/>
  <c r="I73" i="6"/>
  <c r="I70" i="6"/>
  <c r="I67" i="6"/>
  <c r="I64" i="6"/>
  <c r="I61" i="6"/>
  <c r="I58" i="6"/>
  <c r="I51" i="6"/>
  <c r="I50" i="6"/>
  <c r="I45" i="6"/>
  <c r="I33" i="6"/>
  <c r="I30" i="6"/>
  <c r="I29" i="6"/>
  <c r="I28" i="6"/>
  <c r="I27" i="6"/>
  <c r="I25" i="6"/>
  <c r="I24" i="6"/>
  <c r="I21" i="6"/>
  <c r="I19" i="6"/>
  <c r="I13" i="6"/>
  <c r="H58" i="6" l="1"/>
  <c r="H61" i="6"/>
  <c r="H105" i="6"/>
  <c r="H94" i="6"/>
  <c r="H93" i="6" s="1"/>
  <c r="J113" i="6"/>
  <c r="H29" i="6"/>
  <c r="K72" i="6"/>
  <c r="K88" i="6"/>
  <c r="H84" i="6"/>
  <c r="H138" i="6"/>
  <c r="J32" i="6"/>
  <c r="K65" i="6"/>
  <c r="H173" i="6"/>
  <c r="H67" i="6"/>
  <c r="K93" i="6"/>
  <c r="K91" i="6" s="1"/>
  <c r="H101" i="6"/>
  <c r="H115" i="6"/>
  <c r="H13" i="6"/>
  <c r="K97" i="6"/>
  <c r="H51" i="6"/>
  <c r="J168" i="6"/>
  <c r="K69" i="6"/>
  <c r="K85" i="6"/>
  <c r="K163" i="6"/>
  <c r="H73" i="6"/>
  <c r="J91" i="6"/>
  <c r="J153" i="6"/>
  <c r="K9" i="6"/>
  <c r="H27" i="6"/>
  <c r="K39" i="6"/>
  <c r="K36" i="6" s="1"/>
  <c r="H119" i="6"/>
  <c r="H165" i="6"/>
  <c r="J122" i="6"/>
  <c r="J120" i="6" s="1"/>
  <c r="H25" i="6"/>
  <c r="H45" i="6"/>
  <c r="K153" i="6"/>
  <c r="J163" i="6"/>
  <c r="K32" i="6"/>
  <c r="K113" i="6"/>
  <c r="H70" i="6"/>
  <c r="H86" i="6"/>
  <c r="H64" i="6"/>
  <c r="K77" i="6"/>
  <c r="K48" i="6"/>
  <c r="K46" i="6" s="1"/>
  <c r="J69" i="6"/>
  <c r="H19" i="6"/>
  <c r="H33" i="6"/>
  <c r="H74" i="6"/>
  <c r="H21" i="6"/>
  <c r="H117" i="6"/>
  <c r="K60" i="6"/>
  <c r="H30" i="6"/>
  <c r="K168" i="6"/>
  <c r="H160" i="6"/>
  <c r="K157" i="6"/>
  <c r="K122" i="6"/>
  <c r="K120" i="6" s="1"/>
  <c r="K106" i="6"/>
  <c r="H83" i="6"/>
  <c r="K53" i="6"/>
  <c r="H50" i="6"/>
  <c r="K23" i="6"/>
  <c r="K14" i="6"/>
  <c r="H182" i="6"/>
  <c r="J157" i="6"/>
  <c r="H155" i="6"/>
  <c r="H139" i="6"/>
  <c r="H78" i="6"/>
  <c r="J72" i="6"/>
  <c r="J65" i="6"/>
  <c r="J60" i="6"/>
  <c r="J23" i="6"/>
  <c r="H28" i="6"/>
  <c r="I113" i="6"/>
  <c r="H114" i="6"/>
  <c r="I72" i="6"/>
  <c r="H24" i="6"/>
  <c r="J152" i="6" l="1"/>
  <c r="J22" i="6"/>
  <c r="K68" i="6"/>
  <c r="K8" i="6"/>
  <c r="K22" i="6"/>
  <c r="K152" i="6"/>
  <c r="H113" i="6"/>
  <c r="K76" i="6"/>
  <c r="K95" i="6"/>
  <c r="H72" i="6"/>
  <c r="J68" i="6"/>
  <c r="K52" i="6"/>
  <c r="K11" i="13"/>
  <c r="K12" i="13"/>
  <c r="K13" i="13"/>
  <c r="K15" i="13"/>
  <c r="K16" i="13"/>
  <c r="K17" i="13"/>
  <c r="K10" i="13"/>
  <c r="C11" i="13"/>
  <c r="C12" i="13"/>
  <c r="C13" i="13"/>
  <c r="C14" i="13"/>
  <c r="C15" i="13"/>
  <c r="C16" i="13"/>
  <c r="C17" i="13"/>
  <c r="C10" i="13"/>
  <c r="J10" i="13" s="1"/>
  <c r="D9" i="13"/>
  <c r="C132" i="5"/>
  <c r="C112" i="5"/>
  <c r="C108" i="5"/>
  <c r="C65" i="5"/>
  <c r="C55" i="5"/>
  <c r="C32" i="5"/>
  <c r="C9" i="5"/>
  <c r="C7" i="5"/>
  <c r="C107" i="5" l="1"/>
  <c r="C12" i="7"/>
  <c r="C28" i="7"/>
  <c r="C27" i="7"/>
  <c r="C4" i="5"/>
  <c r="K9" i="13"/>
  <c r="C18" i="5"/>
  <c r="C26" i="7" l="1"/>
  <c r="C36" i="7" s="1"/>
  <c r="C8" i="7"/>
  <c r="C3" i="5"/>
  <c r="C141" i="5" l="1"/>
  <c r="C4" i="7"/>
  <c r="C16" i="7" l="1"/>
  <c r="C21" i="7"/>
  <c r="B52" i="5"/>
  <c r="B91" i="5" l="1"/>
  <c r="B64" i="5"/>
  <c r="B53" i="5" l="1"/>
  <c r="B22" i="5"/>
  <c r="B63" i="5"/>
  <c r="E29" i="13" l="1"/>
  <c r="P38" i="13" l="1"/>
  <c r="O38" i="13" s="1"/>
  <c r="P39" i="13"/>
  <c r="O39" i="13" s="1"/>
  <c r="P40" i="13"/>
  <c r="O40" i="13" s="1"/>
  <c r="B88" i="5" l="1"/>
  <c r="B135" i="5" l="1"/>
  <c r="P46" i="13"/>
  <c r="O46" i="13" s="1"/>
  <c r="P47" i="13"/>
  <c r="O47" i="13" s="1"/>
  <c r="P48" i="13"/>
  <c r="O48" i="13" s="1"/>
  <c r="Q23" i="13" l="1"/>
  <c r="L25" i="13" l="1"/>
  <c r="L18" i="13"/>
  <c r="L9" i="13"/>
  <c r="L7" i="13" s="1"/>
  <c r="B19" i="5" l="1"/>
  <c r="G182" i="6" l="1"/>
  <c r="G181" i="6"/>
  <c r="G178" i="6"/>
  <c r="G177" i="6"/>
  <c r="G176" i="6"/>
  <c r="G175" i="6"/>
  <c r="G173" i="6"/>
  <c r="G172" i="6"/>
  <c r="G171" i="6"/>
  <c r="G170" i="6"/>
  <c r="G169" i="6"/>
  <c r="G167" i="6"/>
  <c r="G166" i="6"/>
  <c r="G165" i="6"/>
  <c r="G164" i="6"/>
  <c r="G161" i="6"/>
  <c r="G160" i="6"/>
  <c r="G159" i="6"/>
  <c r="G158" i="6"/>
  <c r="G156" i="6"/>
  <c r="G155" i="6"/>
  <c r="G154" i="6"/>
  <c r="G139" i="6"/>
  <c r="G138" i="6"/>
  <c r="G137" i="6"/>
  <c r="G136" i="6"/>
  <c r="G135" i="6"/>
  <c r="G134" i="6"/>
  <c r="G132" i="6"/>
  <c r="G119" i="6"/>
  <c r="G118" i="6"/>
  <c r="G117" i="6"/>
  <c r="G116" i="6"/>
  <c r="G115" i="6"/>
  <c r="G114" i="6"/>
  <c r="G112" i="6"/>
  <c r="G111" i="6"/>
  <c r="G110" i="6"/>
  <c r="G109" i="6"/>
  <c r="G108" i="6"/>
  <c r="G107" i="6"/>
  <c r="G105" i="6"/>
  <c r="G104" i="6"/>
  <c r="G103" i="6"/>
  <c r="G102" i="6"/>
  <c r="G101" i="6"/>
  <c r="G100" i="6"/>
  <c r="G99" i="6"/>
  <c r="G98" i="6"/>
  <c r="G96" i="6"/>
  <c r="G94" i="6"/>
  <c r="G92" i="6"/>
  <c r="G90" i="6"/>
  <c r="G89" i="6"/>
  <c r="G87" i="6"/>
  <c r="G86" i="6"/>
  <c r="G84" i="6"/>
  <c r="G83" i="6"/>
  <c r="G82" i="6"/>
  <c r="G81" i="6"/>
  <c r="G80" i="6"/>
  <c r="G79" i="6"/>
  <c r="G78" i="6"/>
  <c r="G75" i="6"/>
  <c r="G74" i="6"/>
  <c r="G73" i="6"/>
  <c r="G71" i="6"/>
  <c r="G70" i="6"/>
  <c r="G67" i="6"/>
  <c r="G66" i="6"/>
  <c r="G64" i="6"/>
  <c r="G63" i="6"/>
  <c r="G62" i="6"/>
  <c r="G61" i="6"/>
  <c r="G59" i="6"/>
  <c r="G58" i="6"/>
  <c r="G57" i="6"/>
  <c r="G56" i="6"/>
  <c r="G55" i="6"/>
  <c r="G54" i="6"/>
  <c r="G51" i="6"/>
  <c r="G45" i="6"/>
  <c r="G44" i="6"/>
  <c r="G43" i="6"/>
  <c r="G42" i="6"/>
  <c r="G41" i="6"/>
  <c r="G40" i="6"/>
  <c r="G38" i="6"/>
  <c r="G37" i="6"/>
  <c r="G35" i="6"/>
  <c r="G34" i="6"/>
  <c r="G33" i="6"/>
  <c r="G31" i="6"/>
  <c r="G30" i="6"/>
  <c r="G29" i="6"/>
  <c r="G28" i="6"/>
  <c r="G27" i="6"/>
  <c r="G26" i="6"/>
  <c r="G25" i="6"/>
  <c r="G24" i="6"/>
  <c r="G21" i="6"/>
  <c r="G20" i="6"/>
  <c r="G19" i="6"/>
  <c r="G18" i="6"/>
  <c r="G17" i="6"/>
  <c r="G16" i="6"/>
  <c r="G15" i="6"/>
  <c r="G13" i="6"/>
  <c r="G12" i="6"/>
  <c r="G11" i="6"/>
  <c r="G10" i="6"/>
  <c r="F183" i="6"/>
  <c r="F182" i="6"/>
  <c r="F179" i="6"/>
  <c r="F178" i="6"/>
  <c r="F177" i="6"/>
  <c r="F176" i="6"/>
  <c r="F175" i="6"/>
  <c r="F173" i="6"/>
  <c r="F172" i="6"/>
  <c r="F171" i="6"/>
  <c r="F170" i="6"/>
  <c r="F169" i="6"/>
  <c r="F167" i="6"/>
  <c r="F166" i="6"/>
  <c r="F165" i="6"/>
  <c r="F164" i="6"/>
  <c r="F161" i="6"/>
  <c r="F160" i="6"/>
  <c r="F159" i="6"/>
  <c r="F158" i="6"/>
  <c r="F156" i="6"/>
  <c r="F155" i="6"/>
  <c r="F154" i="6"/>
  <c r="F139" i="6"/>
  <c r="F138" i="6"/>
  <c r="F137" i="6"/>
  <c r="F135" i="6"/>
  <c r="F134" i="6"/>
  <c r="F132" i="6"/>
  <c r="F119" i="6"/>
  <c r="F118" i="6"/>
  <c r="F117" i="6"/>
  <c r="F116" i="6"/>
  <c r="F115" i="6"/>
  <c r="F114" i="6"/>
  <c r="F112" i="6"/>
  <c r="F110" i="6"/>
  <c r="F109" i="6"/>
  <c r="F108" i="6"/>
  <c r="F105" i="6"/>
  <c r="F104" i="6"/>
  <c r="F103" i="6"/>
  <c r="F102" i="6"/>
  <c r="F101" i="6"/>
  <c r="F100" i="6"/>
  <c r="F99" i="6"/>
  <c r="F98" i="6"/>
  <c r="F96" i="6"/>
  <c r="F94" i="6"/>
  <c r="F92" i="6"/>
  <c r="F90" i="6"/>
  <c r="F86" i="6"/>
  <c r="F84" i="6"/>
  <c r="F83" i="6"/>
  <c r="F82" i="6"/>
  <c r="F81" i="6"/>
  <c r="F80" i="6"/>
  <c r="F78" i="6"/>
  <c r="F75" i="6"/>
  <c r="F74" i="6"/>
  <c r="F73" i="6"/>
  <c r="F71" i="6"/>
  <c r="F70" i="6"/>
  <c r="F67" i="6"/>
  <c r="F66" i="6"/>
  <c r="F64" i="6"/>
  <c r="F63" i="6"/>
  <c r="F62" i="6"/>
  <c r="F59" i="6"/>
  <c r="F58" i="6"/>
  <c r="F57" i="6"/>
  <c r="F56" i="6"/>
  <c r="F51" i="6"/>
  <c r="F45" i="6"/>
  <c r="F44" i="6"/>
  <c r="F41" i="6"/>
  <c r="F40" i="6"/>
  <c r="F38" i="6"/>
  <c r="F37" i="6"/>
  <c r="F35" i="6"/>
  <c r="F34" i="6"/>
  <c r="F33" i="6"/>
  <c r="F31" i="6"/>
  <c r="F30" i="6"/>
  <c r="F29" i="6"/>
  <c r="F28" i="6"/>
  <c r="F27" i="6"/>
  <c r="F26" i="6"/>
  <c r="F25" i="6"/>
  <c r="F24" i="6"/>
  <c r="F21" i="6"/>
  <c r="F20" i="6"/>
  <c r="F19" i="6"/>
  <c r="F16" i="6"/>
  <c r="F15" i="6"/>
  <c r="F13" i="6"/>
  <c r="F12" i="6"/>
  <c r="F10" i="6"/>
  <c r="E182" i="6"/>
  <c r="E165" i="6"/>
  <c r="E160" i="6"/>
  <c r="E155" i="6"/>
  <c r="E138" i="6"/>
  <c r="E119" i="6"/>
  <c r="E117" i="6"/>
  <c r="E115" i="6"/>
  <c r="E114" i="6"/>
  <c r="E105" i="6"/>
  <c r="E104" i="6"/>
  <c r="E103" i="6"/>
  <c r="E102" i="6"/>
  <c r="E101" i="6"/>
  <c r="E100" i="6"/>
  <c r="E99" i="6"/>
  <c r="E98" i="6"/>
  <c r="E94" i="6"/>
  <c r="E90" i="6"/>
  <c r="E89" i="6"/>
  <c r="E86" i="6"/>
  <c r="E84" i="6"/>
  <c r="E79" i="6"/>
  <c r="E78" i="6"/>
  <c r="E74" i="6"/>
  <c r="E73" i="6"/>
  <c r="E70" i="6"/>
  <c r="E67" i="6"/>
  <c r="E64" i="6"/>
  <c r="E58" i="6"/>
  <c r="E51" i="6"/>
  <c r="E45" i="6"/>
  <c r="E43" i="6"/>
  <c r="E30" i="6"/>
  <c r="E29" i="6"/>
  <c r="E28" i="6"/>
  <c r="E27" i="6"/>
  <c r="E21" i="6"/>
  <c r="E20" i="6"/>
  <c r="E16" i="6"/>
  <c r="E13" i="6"/>
  <c r="G23" i="6" l="1"/>
  <c r="G113" i="6"/>
  <c r="F174" i="6" l="1"/>
  <c r="G174" i="6"/>
  <c r="F113" i="6"/>
  <c r="E113" i="6"/>
  <c r="D99" i="6"/>
  <c r="G93" i="6"/>
  <c r="E93" i="6"/>
  <c r="E88" i="6"/>
  <c r="F72" i="6"/>
  <c r="E72" i="6"/>
  <c r="D16" i="6"/>
  <c r="B132" i="5"/>
  <c r="B112" i="5"/>
  <c r="B108" i="5"/>
  <c r="B65" i="5"/>
  <c r="B55" i="5"/>
  <c r="B9" i="5"/>
  <c r="B7" i="5"/>
  <c r="B5" i="5"/>
  <c r="B28" i="7" l="1"/>
  <c r="B12" i="7"/>
  <c r="G85" i="6"/>
  <c r="G168" i="6"/>
  <c r="G72" i="6"/>
  <c r="D84" i="6"/>
  <c r="G91" i="6"/>
  <c r="D100" i="6"/>
  <c r="D102" i="6"/>
  <c r="F168" i="6"/>
  <c r="G97" i="6"/>
  <c r="G153" i="6"/>
  <c r="D117" i="6"/>
  <c r="D13" i="6"/>
  <c r="D165" i="6"/>
  <c r="D45" i="6"/>
  <c r="F157" i="6"/>
  <c r="F65" i="6"/>
  <c r="F69" i="6"/>
  <c r="F68" i="6" s="1"/>
  <c r="F153" i="6"/>
  <c r="F23" i="6"/>
  <c r="D155" i="6"/>
  <c r="D104" i="6"/>
  <c r="D27" i="6"/>
  <c r="D98" i="6"/>
  <c r="D20" i="6"/>
  <c r="G9" i="6"/>
  <c r="G65" i="6"/>
  <c r="E97" i="6"/>
  <c r="F163" i="6"/>
  <c r="D105" i="6"/>
  <c r="G106" i="6"/>
  <c r="D138" i="6"/>
  <c r="G157" i="6"/>
  <c r="G163" i="6"/>
  <c r="G77" i="6"/>
  <c r="D90" i="6"/>
  <c r="D114" i="6"/>
  <c r="D119" i="6"/>
  <c r="D182" i="6"/>
  <c r="D51" i="6"/>
  <c r="D28" i="6"/>
  <c r="F32" i="6"/>
  <c r="G88" i="6"/>
  <c r="G133" i="6"/>
  <c r="G131" i="6" s="1"/>
  <c r="D74" i="6"/>
  <c r="D103" i="6"/>
  <c r="D160" i="6"/>
  <c r="D30" i="6"/>
  <c r="G39" i="6"/>
  <c r="G36" i="6" s="1"/>
  <c r="G60" i="6"/>
  <c r="D101" i="6"/>
  <c r="G69" i="6"/>
  <c r="D29" i="6"/>
  <c r="G32" i="6"/>
  <c r="G14" i="6"/>
  <c r="D115" i="6"/>
  <c r="D86" i="6"/>
  <c r="D58" i="6"/>
  <c r="D67" i="6"/>
  <c r="D78" i="6"/>
  <c r="F97" i="6"/>
  <c r="D70" i="6"/>
  <c r="D21" i="6"/>
  <c r="D73" i="6"/>
  <c r="G53" i="6"/>
  <c r="F93" i="6"/>
  <c r="F91" i="6" s="1"/>
  <c r="D94" i="6"/>
  <c r="D93" i="6" s="1"/>
  <c r="D64" i="6"/>
  <c r="B4" i="5"/>
  <c r="B26" i="7" s="1"/>
  <c r="B32" i="5"/>
  <c r="B107" i="5"/>
  <c r="B8" i="7" s="1"/>
  <c r="D72" i="6" l="1"/>
  <c r="B18" i="5"/>
  <c r="B27" i="7"/>
  <c r="G152" i="6"/>
  <c r="G95" i="6"/>
  <c r="G68" i="6"/>
  <c r="G8" i="6"/>
  <c r="F152" i="6"/>
  <c r="F22" i="6"/>
  <c r="D113" i="6"/>
  <c r="D97" i="6"/>
  <c r="G22" i="6"/>
  <c r="G76" i="6"/>
  <c r="G52" i="6"/>
  <c r="B3" i="5" l="1"/>
  <c r="B36" i="7"/>
  <c r="B141" i="5" l="1"/>
  <c r="B4" i="7"/>
  <c r="B21" i="7" l="1"/>
  <c r="B16" i="7"/>
  <c r="C52" i="13" l="1"/>
  <c r="P55" i="13" l="1"/>
  <c r="Q56" i="13" l="1"/>
  <c r="P44" i="13" l="1"/>
  <c r="P34" i="13"/>
  <c r="P33" i="13"/>
  <c r="P49" i="13"/>
  <c r="P41" i="13"/>
  <c r="P31" i="13"/>
  <c r="O31" i="13" s="1"/>
  <c r="P32" i="13"/>
  <c r="P35" i="13"/>
  <c r="P36" i="13"/>
  <c r="P37" i="13"/>
  <c r="P42" i="13"/>
  <c r="P43" i="13"/>
  <c r="P45" i="13"/>
  <c r="P50" i="13"/>
  <c r="P30" i="13"/>
  <c r="O30" i="13" s="1"/>
  <c r="P29" i="13" l="1"/>
  <c r="O49" i="13" l="1"/>
  <c r="Q55" i="13" l="1"/>
  <c r="K19" i="13"/>
  <c r="P19" i="13" s="1"/>
  <c r="O36" i="13" l="1"/>
  <c r="O35" i="13"/>
  <c r="T25" i="13" l="1"/>
  <c r="T9" i="13"/>
  <c r="T54" i="13" s="1"/>
  <c r="T7" i="13" l="1"/>
  <c r="M18" i="13" l="1"/>
  <c r="N58" i="13" l="1"/>
  <c r="W25" i="13"/>
  <c r="W18" i="13"/>
  <c r="W9" i="13"/>
  <c r="U25" i="13"/>
  <c r="U18" i="13"/>
  <c r="U9" i="13"/>
  <c r="S25" i="13"/>
  <c r="S18" i="13"/>
  <c r="S9" i="13"/>
  <c r="W54" i="13" l="1"/>
  <c r="W7" i="13"/>
  <c r="S7" i="13"/>
  <c r="O55" i="13"/>
  <c r="S54" i="13"/>
  <c r="S57" i="13" s="1"/>
  <c r="S59" i="13" l="1"/>
  <c r="W59" i="13"/>
  <c r="S60" i="13" l="1"/>
  <c r="J13" i="13" l="1"/>
  <c r="I18" i="13"/>
  <c r="I9" i="13"/>
  <c r="I54" i="13" l="1"/>
  <c r="I57" i="13" s="1"/>
  <c r="I53" i="13"/>
  <c r="I7" i="13"/>
  <c r="F9" i="13" l="1"/>
  <c r="E57" i="13"/>
  <c r="O50" i="13" l="1"/>
  <c r="O45" i="13"/>
  <c r="O43" i="13"/>
  <c r="O42" i="13"/>
  <c r="O41" i="13"/>
  <c r="O34" i="13"/>
  <c r="O33" i="13"/>
  <c r="O32" i="13"/>
  <c r="C28" i="13"/>
  <c r="J28" i="13" s="1"/>
  <c r="N28" i="13" s="1"/>
  <c r="N26" i="13"/>
  <c r="M25" i="13"/>
  <c r="G25" i="13"/>
  <c r="F25" i="13"/>
  <c r="E25" i="13"/>
  <c r="P24" i="13"/>
  <c r="O24" i="13" s="1"/>
  <c r="C24" i="13"/>
  <c r="K23" i="13"/>
  <c r="P23" i="13" s="1"/>
  <c r="O23" i="13" s="1"/>
  <c r="C23" i="13"/>
  <c r="K22" i="13"/>
  <c r="P22" i="13" s="1"/>
  <c r="C22" i="13"/>
  <c r="K21" i="13"/>
  <c r="P21" i="13" s="1"/>
  <c r="O21" i="13" s="1"/>
  <c r="C21" i="13"/>
  <c r="K20" i="13"/>
  <c r="P20" i="13" s="1"/>
  <c r="C20" i="13"/>
  <c r="C19" i="13"/>
  <c r="J19" i="13" s="1"/>
  <c r="N19" i="13" s="1"/>
  <c r="H18" i="13"/>
  <c r="G18" i="13"/>
  <c r="F18" i="13"/>
  <c r="E18" i="13"/>
  <c r="D18" i="13"/>
  <c r="D7" i="13" s="1"/>
  <c r="O17" i="13"/>
  <c r="J17" i="13"/>
  <c r="N17" i="13" s="1"/>
  <c r="P16" i="13"/>
  <c r="P15" i="13"/>
  <c r="O14" i="13"/>
  <c r="N13" i="13"/>
  <c r="P13" i="13"/>
  <c r="P12" i="13"/>
  <c r="O12" i="13" s="1"/>
  <c r="P11" i="13"/>
  <c r="J11" i="13"/>
  <c r="N11" i="13" s="1"/>
  <c r="P10" i="13"/>
  <c r="N10" i="13"/>
  <c r="M9" i="13"/>
  <c r="H9" i="13"/>
  <c r="G9" i="13"/>
  <c r="G51" i="13" s="1"/>
  <c r="E9" i="13"/>
  <c r="J8" i="13"/>
  <c r="D54" i="13" l="1"/>
  <c r="D57" i="13" s="1"/>
  <c r="H54" i="13"/>
  <c r="H57" i="13" s="1"/>
  <c r="P51" i="13"/>
  <c r="O51" i="13" s="1"/>
  <c r="G54" i="13"/>
  <c r="G57" i="13" s="1"/>
  <c r="F54" i="13"/>
  <c r="F57" i="13" s="1"/>
  <c r="M7" i="13"/>
  <c r="M54" i="13"/>
  <c r="M57" i="13" s="1"/>
  <c r="O37" i="13"/>
  <c r="O29" i="13" s="1"/>
  <c r="E7" i="13"/>
  <c r="O44" i="13"/>
  <c r="O13" i="13"/>
  <c r="O16" i="13"/>
  <c r="C25" i="13"/>
  <c r="J24" i="13"/>
  <c r="N24" i="13" s="1"/>
  <c r="J20" i="13"/>
  <c r="N20" i="13" s="1"/>
  <c r="N8" i="13"/>
  <c r="J23" i="13"/>
  <c r="N23" i="13" s="1"/>
  <c r="J22" i="13"/>
  <c r="N22" i="13" s="1"/>
  <c r="J21" i="13"/>
  <c r="N21" i="13" s="1"/>
  <c r="O20" i="13"/>
  <c r="O19" i="13"/>
  <c r="O15" i="13"/>
  <c r="O11" i="13"/>
  <c r="J16" i="13"/>
  <c r="N16" i="13" s="1"/>
  <c r="J15" i="13"/>
  <c r="N15" i="13" s="1"/>
  <c r="J14" i="13"/>
  <c r="N14" i="13" s="1"/>
  <c r="J12" i="13"/>
  <c r="N12" i="13" s="1"/>
  <c r="F7" i="13"/>
  <c r="Q9" i="13"/>
  <c r="Q25" i="13"/>
  <c r="O27" i="13"/>
  <c r="O22" i="13"/>
  <c r="Q18" i="13"/>
  <c r="C9" i="13"/>
  <c r="P18" i="13"/>
  <c r="N27" i="13"/>
  <c r="N25" i="13" s="1"/>
  <c r="J25" i="13"/>
  <c r="P9" i="13"/>
  <c r="O10" i="13"/>
  <c r="O26" i="13"/>
  <c r="P25" i="13"/>
  <c r="G7" i="13"/>
  <c r="K18" i="13"/>
  <c r="K25" i="13"/>
  <c r="H7" i="13"/>
  <c r="C18" i="13"/>
  <c r="H53" i="13"/>
  <c r="P53" i="13" s="1"/>
  <c r="C7" i="13" l="1"/>
  <c r="C54" i="13"/>
  <c r="C57" i="13" s="1"/>
  <c r="Q7" i="13"/>
  <c r="N18" i="13"/>
  <c r="P54" i="13"/>
  <c r="O9" i="13"/>
  <c r="K7" i="13"/>
  <c r="Q54" i="13"/>
  <c r="J18" i="13"/>
  <c r="O18" i="13"/>
  <c r="O25" i="13"/>
  <c r="K54" i="13"/>
  <c r="K57" i="13" s="1"/>
  <c r="J9" i="13"/>
  <c r="O53" i="13"/>
  <c r="P7" i="13"/>
  <c r="N9" i="13"/>
  <c r="J7" i="13" l="1"/>
  <c r="O7" i="13"/>
  <c r="N54" i="13"/>
  <c r="N57" i="13" s="1"/>
  <c r="N7" i="13"/>
  <c r="Q57" i="13"/>
  <c r="Q59" i="13" s="1"/>
  <c r="P57" i="13"/>
  <c r="P59" i="13" s="1"/>
  <c r="J54" i="13"/>
  <c r="J57" i="13" s="1"/>
  <c r="O54" i="13"/>
  <c r="O57" i="13" s="1"/>
  <c r="P60" i="13" l="1"/>
  <c r="U128" i="2" l="1"/>
  <c r="U116" i="2"/>
  <c r="V113" i="2"/>
  <c r="U113" i="2"/>
  <c r="U112" i="2"/>
  <c r="U111" i="2"/>
  <c r="U109" i="2"/>
  <c r="U108" i="2"/>
  <c r="U106" i="2"/>
  <c r="U105" i="2"/>
  <c r="U104" i="2"/>
  <c r="U102" i="2"/>
  <c r="U100" i="2"/>
  <c r="U44" i="2"/>
  <c r="W178" i="2" l="1"/>
  <c r="V178" i="2"/>
  <c r="W177" i="2"/>
  <c r="V177" i="2"/>
  <c r="U177" i="2"/>
  <c r="W176" i="2"/>
  <c r="V176" i="2"/>
  <c r="U176" i="2"/>
  <c r="O178" i="2"/>
  <c r="N178" i="2"/>
  <c r="O177" i="2"/>
  <c r="N177" i="2"/>
  <c r="M177" i="2"/>
  <c r="O176" i="2"/>
  <c r="N176" i="2"/>
  <c r="M176" i="2"/>
  <c r="K176" i="2"/>
  <c r="G178" i="2"/>
  <c r="F178" i="2"/>
  <c r="F177" i="2"/>
  <c r="E177" i="2"/>
  <c r="G176" i="2"/>
  <c r="W174" i="2"/>
  <c r="V174" i="2"/>
  <c r="U174" i="2"/>
  <c r="O174" i="2"/>
  <c r="N174" i="2"/>
  <c r="M174" i="2"/>
  <c r="F174" i="2"/>
  <c r="W173" i="2"/>
  <c r="V173" i="2"/>
  <c r="U173" i="2"/>
  <c r="W172" i="2"/>
  <c r="V172" i="2"/>
  <c r="U172" i="2"/>
  <c r="W170" i="2"/>
  <c r="V170" i="2"/>
  <c r="U170" i="2"/>
  <c r="W169" i="2"/>
  <c r="V169" i="2"/>
  <c r="U169" i="2"/>
  <c r="W168" i="2"/>
  <c r="V168" i="2"/>
  <c r="U168" i="2"/>
  <c r="W167" i="2"/>
  <c r="V167" i="2"/>
  <c r="U167" i="2"/>
  <c r="W166" i="2"/>
  <c r="V166" i="2"/>
  <c r="U166" i="2"/>
  <c r="W164" i="2"/>
  <c r="V164" i="2"/>
  <c r="U164" i="2"/>
  <c r="W163" i="2"/>
  <c r="V163" i="2"/>
  <c r="U163" i="2"/>
  <c r="W162" i="2"/>
  <c r="V162" i="2"/>
  <c r="U162" i="2"/>
  <c r="W160" i="2"/>
  <c r="V160" i="2"/>
  <c r="U160" i="2"/>
  <c r="W159" i="2"/>
  <c r="V159" i="2"/>
  <c r="U159" i="2"/>
  <c r="W158" i="2"/>
  <c r="V158" i="2"/>
  <c r="U158" i="2"/>
  <c r="W157" i="2"/>
  <c r="V157" i="2"/>
  <c r="U157" i="2"/>
  <c r="W155" i="2"/>
  <c r="V155" i="2"/>
  <c r="U155" i="2"/>
  <c r="W154" i="2"/>
  <c r="V154" i="2"/>
  <c r="U154" i="2"/>
  <c r="W153" i="2"/>
  <c r="V153" i="2"/>
  <c r="U153" i="2"/>
  <c r="O173" i="2"/>
  <c r="N173" i="2"/>
  <c r="M173" i="2"/>
  <c r="O172" i="2"/>
  <c r="N172" i="2"/>
  <c r="M172" i="2"/>
  <c r="O170" i="2"/>
  <c r="N170" i="2"/>
  <c r="M170" i="2"/>
  <c r="O169" i="2"/>
  <c r="N169" i="2"/>
  <c r="O168" i="2"/>
  <c r="N168" i="2"/>
  <c r="O167" i="2"/>
  <c r="N167" i="2"/>
  <c r="M167" i="2"/>
  <c r="O166" i="2"/>
  <c r="N166" i="2"/>
  <c r="O164" i="2"/>
  <c r="O163" i="2"/>
  <c r="N163" i="2"/>
  <c r="O162" i="2"/>
  <c r="N162" i="2"/>
  <c r="O160" i="2"/>
  <c r="N160" i="2"/>
  <c r="O159" i="2"/>
  <c r="N159" i="2"/>
  <c r="M159" i="2"/>
  <c r="O158" i="2"/>
  <c r="N158" i="2"/>
  <c r="O157" i="2"/>
  <c r="N157" i="2"/>
  <c r="O155" i="2"/>
  <c r="N155" i="2"/>
  <c r="M155" i="2"/>
  <c r="O154" i="2"/>
  <c r="N154" i="2"/>
  <c r="O153" i="2"/>
  <c r="N153" i="2"/>
  <c r="I173" i="2"/>
  <c r="G173" i="2"/>
  <c r="F173" i="2"/>
  <c r="G172" i="2"/>
  <c r="F172" i="2"/>
  <c r="G170" i="2"/>
  <c r="F170" i="2"/>
  <c r="G169" i="2"/>
  <c r="F169" i="2"/>
  <c r="G168" i="2"/>
  <c r="F168" i="2"/>
  <c r="G167" i="2"/>
  <c r="F167" i="2"/>
  <c r="G166" i="2"/>
  <c r="G164" i="2"/>
  <c r="G163" i="2"/>
  <c r="F163" i="2"/>
  <c r="G162" i="2"/>
  <c r="F162" i="2"/>
  <c r="G160" i="2"/>
  <c r="F160" i="2"/>
  <c r="G159" i="2"/>
  <c r="F159" i="2"/>
  <c r="G158" i="2"/>
  <c r="F158" i="2"/>
  <c r="G157" i="2"/>
  <c r="F157" i="2"/>
  <c r="G155" i="2"/>
  <c r="F155" i="2"/>
  <c r="G154" i="2"/>
  <c r="F154" i="2"/>
  <c r="G153" i="2"/>
  <c r="F153" i="2"/>
  <c r="W150" i="2"/>
  <c r="V150" i="2"/>
  <c r="U150" i="2"/>
  <c r="W149" i="2"/>
  <c r="V149" i="2"/>
  <c r="U149" i="2"/>
  <c r="W148" i="2"/>
  <c r="V148" i="2"/>
  <c r="U148" i="2"/>
  <c r="W147" i="2"/>
  <c r="V147" i="2"/>
  <c r="U147" i="2"/>
  <c r="W146" i="2"/>
  <c r="V146" i="2"/>
  <c r="U146" i="2"/>
  <c r="W145" i="2"/>
  <c r="V145" i="2"/>
  <c r="U145" i="2"/>
  <c r="W144" i="2"/>
  <c r="V144" i="2"/>
  <c r="U144" i="2"/>
  <c r="W143" i="2"/>
  <c r="V143" i="2"/>
  <c r="U143" i="2"/>
  <c r="W142" i="2"/>
  <c r="V142" i="2"/>
  <c r="U142" i="2"/>
  <c r="W141" i="2"/>
  <c r="V141" i="2"/>
  <c r="U141" i="2"/>
  <c r="O150" i="2"/>
  <c r="N150" i="2"/>
  <c r="M150" i="2"/>
  <c r="O149" i="2"/>
  <c r="N149" i="2"/>
  <c r="M149" i="2"/>
  <c r="O148" i="2"/>
  <c r="N148" i="2"/>
  <c r="M148" i="2"/>
  <c r="O147" i="2"/>
  <c r="N147" i="2"/>
  <c r="M147" i="2"/>
  <c r="O146" i="2"/>
  <c r="N146" i="2"/>
  <c r="M146" i="2"/>
  <c r="O145" i="2"/>
  <c r="N145" i="2"/>
  <c r="M145" i="2"/>
  <c r="O144" i="2"/>
  <c r="N144" i="2"/>
  <c r="M144" i="2"/>
  <c r="O143" i="2"/>
  <c r="N143" i="2"/>
  <c r="O142" i="2"/>
  <c r="N142" i="2"/>
  <c r="M142" i="2"/>
  <c r="O141" i="2"/>
  <c r="N141" i="2"/>
  <c r="M141" i="2"/>
  <c r="G150" i="2"/>
  <c r="F150" i="2"/>
  <c r="G149" i="2"/>
  <c r="G148" i="2"/>
  <c r="F148" i="2"/>
  <c r="G147" i="2"/>
  <c r="F147" i="2"/>
  <c r="G146" i="2"/>
  <c r="F146" i="2"/>
  <c r="G145" i="2"/>
  <c r="F145" i="2"/>
  <c r="G144" i="2"/>
  <c r="F144" i="2"/>
  <c r="G143" i="2"/>
  <c r="G142" i="2"/>
  <c r="F142" i="2"/>
  <c r="E142" i="2"/>
  <c r="G141" i="2"/>
  <c r="F141" i="2"/>
  <c r="W138" i="2"/>
  <c r="V138" i="2"/>
  <c r="U138" i="2"/>
  <c r="W137" i="2"/>
  <c r="V137" i="2"/>
  <c r="U137" i="2"/>
  <c r="W136" i="2"/>
  <c r="V136" i="2"/>
  <c r="U136" i="2"/>
  <c r="W135" i="2"/>
  <c r="V135" i="2"/>
  <c r="U135" i="2"/>
  <c r="W134" i="2"/>
  <c r="V134" i="2"/>
  <c r="U134" i="2"/>
  <c r="W133" i="2"/>
  <c r="V133" i="2"/>
  <c r="U133" i="2"/>
  <c r="W131" i="2"/>
  <c r="V131" i="2"/>
  <c r="U131" i="2"/>
  <c r="O138" i="2"/>
  <c r="N138" i="2"/>
  <c r="K138" i="2"/>
  <c r="J138" i="2"/>
  <c r="I138" i="2"/>
  <c r="G138" i="2"/>
  <c r="F138" i="2"/>
  <c r="O137" i="2"/>
  <c r="N137" i="2"/>
  <c r="K137" i="2"/>
  <c r="J137" i="2"/>
  <c r="I137" i="2"/>
  <c r="G137" i="2"/>
  <c r="O136" i="2"/>
  <c r="N136" i="2"/>
  <c r="K136" i="2"/>
  <c r="J136" i="2"/>
  <c r="I136" i="2"/>
  <c r="G136" i="2"/>
  <c r="F136" i="2"/>
  <c r="O135" i="2"/>
  <c r="N135" i="2"/>
  <c r="M135" i="2"/>
  <c r="K135" i="2"/>
  <c r="J135" i="2"/>
  <c r="I135" i="2"/>
  <c r="G135" i="2"/>
  <c r="O134" i="2"/>
  <c r="N134" i="2"/>
  <c r="M134" i="2"/>
  <c r="K134" i="2"/>
  <c r="J134" i="2"/>
  <c r="I134" i="2"/>
  <c r="G134" i="2"/>
  <c r="F134" i="2"/>
  <c r="O133" i="2"/>
  <c r="N133" i="2"/>
  <c r="M133" i="2"/>
  <c r="K133" i="2"/>
  <c r="J133" i="2"/>
  <c r="I133" i="2"/>
  <c r="G133" i="2"/>
  <c r="O131" i="2"/>
  <c r="N131" i="2"/>
  <c r="M131" i="2"/>
  <c r="K131" i="2"/>
  <c r="J131" i="2"/>
  <c r="I131" i="2"/>
  <c r="G131" i="2"/>
  <c r="F131" i="2"/>
  <c r="W129" i="2"/>
  <c r="V129" i="2"/>
  <c r="U129" i="2"/>
  <c r="W128" i="2"/>
  <c r="V128" i="2"/>
  <c r="W127" i="2"/>
  <c r="V127" i="2"/>
  <c r="U127" i="2"/>
  <c r="W126" i="2"/>
  <c r="V126" i="2"/>
  <c r="W125" i="2"/>
  <c r="V125" i="2"/>
  <c r="U125" i="2"/>
  <c r="W124" i="2"/>
  <c r="V124" i="2"/>
  <c r="U124" i="2"/>
  <c r="W123" i="2"/>
  <c r="V123" i="2"/>
  <c r="U123" i="2"/>
  <c r="W121" i="2"/>
  <c r="V121" i="2"/>
  <c r="U121" i="2"/>
  <c r="O129" i="2"/>
  <c r="N129" i="2"/>
  <c r="M129" i="2"/>
  <c r="O127" i="2"/>
  <c r="N127" i="2"/>
  <c r="M127" i="2"/>
  <c r="O126" i="2"/>
  <c r="N126" i="2"/>
  <c r="M126" i="2"/>
  <c r="O125" i="2"/>
  <c r="N125" i="2"/>
  <c r="M125" i="2"/>
  <c r="O124" i="2"/>
  <c r="N124" i="2"/>
  <c r="M124" i="2"/>
  <c r="O123" i="2"/>
  <c r="N123" i="2"/>
  <c r="M123" i="2"/>
  <c r="O121" i="2"/>
  <c r="N121" i="2"/>
  <c r="M121" i="2"/>
  <c r="G129" i="2"/>
  <c r="F129" i="2"/>
  <c r="G127" i="2"/>
  <c r="F127" i="2"/>
  <c r="G126" i="2"/>
  <c r="F126" i="2"/>
  <c r="G125" i="2"/>
  <c r="F125" i="2"/>
  <c r="J124" i="2"/>
  <c r="G124" i="2"/>
  <c r="G123" i="2"/>
  <c r="F123" i="2"/>
  <c r="G121" i="2"/>
  <c r="F121" i="2"/>
  <c r="W119" i="2"/>
  <c r="V119" i="2"/>
  <c r="U119" i="2"/>
  <c r="W118" i="2"/>
  <c r="V118" i="2"/>
  <c r="U118" i="2"/>
  <c r="W117" i="2"/>
  <c r="V117" i="2"/>
  <c r="U117" i="2"/>
  <c r="W116" i="2"/>
  <c r="V116" i="2"/>
  <c r="W115" i="2"/>
  <c r="V115" i="2"/>
  <c r="W113" i="2"/>
  <c r="W112" i="2"/>
  <c r="V112" i="2"/>
  <c r="W111" i="2"/>
  <c r="V111" i="2"/>
  <c r="W110" i="2"/>
  <c r="V110" i="2"/>
  <c r="W109" i="2"/>
  <c r="V109" i="2"/>
  <c r="W108" i="2"/>
  <c r="V108" i="2"/>
  <c r="W106" i="2"/>
  <c r="V106" i="2"/>
  <c r="W105" i="2"/>
  <c r="V105" i="2"/>
  <c r="W104" i="2"/>
  <c r="V104" i="2"/>
  <c r="W103" i="2"/>
  <c r="V103" i="2"/>
  <c r="U103" i="2"/>
  <c r="W102" i="2"/>
  <c r="V102" i="2"/>
  <c r="W101" i="2"/>
  <c r="V101" i="2"/>
  <c r="W100" i="2"/>
  <c r="V100" i="2"/>
  <c r="W98" i="2"/>
  <c r="V98" i="2"/>
  <c r="U98" i="2"/>
  <c r="O119" i="2"/>
  <c r="N119" i="2"/>
  <c r="M119" i="2"/>
  <c r="O118" i="2"/>
  <c r="N118" i="2"/>
  <c r="M118" i="2"/>
  <c r="O117" i="2"/>
  <c r="N117" i="2"/>
  <c r="M117" i="2"/>
  <c r="O116" i="2"/>
  <c r="N116" i="2"/>
  <c r="M116" i="2"/>
  <c r="O115" i="2"/>
  <c r="N115" i="2"/>
  <c r="M115" i="2"/>
  <c r="O113" i="2"/>
  <c r="N113" i="2"/>
  <c r="M113" i="2"/>
  <c r="O112" i="2"/>
  <c r="N112" i="2"/>
  <c r="M112" i="2"/>
  <c r="O111" i="2"/>
  <c r="N111" i="2"/>
  <c r="M111" i="2"/>
  <c r="O110" i="2"/>
  <c r="N110" i="2"/>
  <c r="M110" i="2"/>
  <c r="O109" i="2"/>
  <c r="N109" i="2"/>
  <c r="M109" i="2"/>
  <c r="O108" i="2"/>
  <c r="N108" i="2"/>
  <c r="M108" i="2"/>
  <c r="O106" i="2"/>
  <c r="N106" i="2"/>
  <c r="M106" i="2"/>
  <c r="O105" i="2"/>
  <c r="N105" i="2"/>
  <c r="M105" i="2"/>
  <c r="O104" i="2"/>
  <c r="N104" i="2"/>
  <c r="M104" i="2"/>
  <c r="O103" i="2"/>
  <c r="N103" i="2"/>
  <c r="M103" i="2"/>
  <c r="O102" i="2"/>
  <c r="N102" i="2"/>
  <c r="M102" i="2"/>
  <c r="O101" i="2"/>
  <c r="N101" i="2"/>
  <c r="M101" i="2"/>
  <c r="O100" i="2"/>
  <c r="N100" i="2"/>
  <c r="M100" i="2"/>
  <c r="O98" i="2"/>
  <c r="N98" i="2"/>
  <c r="M98" i="2"/>
  <c r="G119" i="2"/>
  <c r="F119" i="2"/>
  <c r="G118" i="2"/>
  <c r="G117" i="2"/>
  <c r="F117" i="2"/>
  <c r="G116" i="2"/>
  <c r="F116" i="2"/>
  <c r="G115" i="2"/>
  <c r="F115" i="2"/>
  <c r="G113" i="2"/>
  <c r="F113" i="2"/>
  <c r="G112" i="2"/>
  <c r="F112" i="2"/>
  <c r="G111" i="2"/>
  <c r="G110" i="2"/>
  <c r="F110" i="2"/>
  <c r="G109" i="2"/>
  <c r="G108" i="2"/>
  <c r="F108" i="2"/>
  <c r="G106" i="2"/>
  <c r="G105" i="2"/>
  <c r="G104" i="2"/>
  <c r="F104" i="2"/>
  <c r="G103" i="2"/>
  <c r="F103" i="2"/>
  <c r="E103" i="2"/>
  <c r="G102" i="2"/>
  <c r="G101" i="2"/>
  <c r="F101" i="2"/>
  <c r="G100" i="2"/>
  <c r="F100" i="2"/>
  <c r="G98" i="2"/>
  <c r="F98" i="2"/>
  <c r="W96" i="2"/>
  <c r="V96" i="2"/>
  <c r="U96" i="2"/>
  <c r="W94" i="2"/>
  <c r="V94" i="2"/>
  <c r="U94" i="2"/>
  <c r="O96" i="2"/>
  <c r="N96" i="2"/>
  <c r="M96" i="2"/>
  <c r="O94" i="2"/>
  <c r="N94" i="2"/>
  <c r="M94" i="2"/>
  <c r="G96" i="2"/>
  <c r="F96" i="2"/>
  <c r="G94" i="2"/>
  <c r="F94" i="2"/>
  <c r="W92" i="2"/>
  <c r="V92" i="2"/>
  <c r="U92" i="2"/>
  <c r="W91" i="2"/>
  <c r="V91" i="2"/>
  <c r="U91" i="2"/>
  <c r="W89" i="2"/>
  <c r="V89" i="2"/>
  <c r="U89" i="2"/>
  <c r="W88" i="2"/>
  <c r="V88" i="2"/>
  <c r="U88" i="2"/>
  <c r="W86" i="2"/>
  <c r="V86" i="2"/>
  <c r="U86" i="2"/>
  <c r="W85" i="2"/>
  <c r="V85" i="2"/>
  <c r="U85" i="2"/>
  <c r="W84" i="2"/>
  <c r="V84" i="2"/>
  <c r="U84" i="2"/>
  <c r="W83" i="2"/>
  <c r="V83" i="2"/>
  <c r="U83" i="2"/>
  <c r="W82" i="2"/>
  <c r="V82" i="2"/>
  <c r="U82" i="2"/>
  <c r="W81" i="2"/>
  <c r="V81" i="2"/>
  <c r="U81" i="2"/>
  <c r="W80" i="2"/>
  <c r="V80" i="2"/>
  <c r="U80" i="2"/>
  <c r="O92" i="2"/>
  <c r="N92" i="2"/>
  <c r="M92" i="2"/>
  <c r="O91" i="2"/>
  <c r="N91" i="2"/>
  <c r="M91" i="2"/>
  <c r="O89" i="2"/>
  <c r="N89" i="2"/>
  <c r="O88" i="2"/>
  <c r="N88" i="2"/>
  <c r="M88" i="2"/>
  <c r="O86" i="2"/>
  <c r="N86" i="2"/>
  <c r="O85" i="2"/>
  <c r="N85" i="2"/>
  <c r="O84" i="2"/>
  <c r="N84" i="2"/>
  <c r="M84" i="2"/>
  <c r="O83" i="2"/>
  <c r="N83" i="2"/>
  <c r="M83" i="2"/>
  <c r="O82" i="2"/>
  <c r="N82" i="2"/>
  <c r="M82" i="2"/>
  <c r="O81" i="2"/>
  <c r="N81" i="2"/>
  <c r="M81" i="2"/>
  <c r="O80" i="2"/>
  <c r="N80" i="2"/>
  <c r="M80" i="2"/>
  <c r="K92" i="2"/>
  <c r="J92" i="2"/>
  <c r="I92" i="2"/>
  <c r="G92" i="2"/>
  <c r="F92" i="2"/>
  <c r="K91" i="2"/>
  <c r="J91" i="2"/>
  <c r="I91" i="2"/>
  <c r="G91" i="2"/>
  <c r="F91" i="2"/>
  <c r="E91" i="2"/>
  <c r="K89" i="2"/>
  <c r="J89" i="2"/>
  <c r="I89" i="2"/>
  <c r="G89" i="2"/>
  <c r="F89" i="2"/>
  <c r="K88" i="2"/>
  <c r="J88" i="2"/>
  <c r="I88" i="2"/>
  <c r="G88" i="2"/>
  <c r="E88" i="2"/>
  <c r="G86" i="2"/>
  <c r="F86" i="2"/>
  <c r="G85" i="2"/>
  <c r="F85" i="2"/>
  <c r="G84" i="2"/>
  <c r="F84" i="2"/>
  <c r="G83" i="2"/>
  <c r="F83" i="2"/>
  <c r="G82" i="2"/>
  <c r="F82" i="2"/>
  <c r="G80" i="2"/>
  <c r="F80" i="2"/>
  <c r="E80" i="2"/>
  <c r="W77" i="2"/>
  <c r="V77" i="2"/>
  <c r="U77" i="2"/>
  <c r="W76" i="2"/>
  <c r="V76" i="2"/>
  <c r="U76" i="2"/>
  <c r="W75" i="2"/>
  <c r="V75" i="2"/>
  <c r="U75" i="2"/>
  <c r="W73" i="2"/>
  <c r="V73" i="2"/>
  <c r="U73" i="2"/>
  <c r="W72" i="2"/>
  <c r="V72" i="2"/>
  <c r="U72" i="2"/>
  <c r="O77" i="2"/>
  <c r="N77" i="2"/>
  <c r="M77" i="2"/>
  <c r="K77" i="2"/>
  <c r="J77" i="2"/>
  <c r="G77" i="2"/>
  <c r="O76" i="2"/>
  <c r="N76" i="2"/>
  <c r="M76" i="2"/>
  <c r="K76" i="2"/>
  <c r="J76" i="2"/>
  <c r="G76" i="2"/>
  <c r="F76" i="2"/>
  <c r="O75" i="2"/>
  <c r="N75" i="2"/>
  <c r="M75" i="2"/>
  <c r="K75" i="2"/>
  <c r="J75" i="2"/>
  <c r="G75" i="2"/>
  <c r="F75" i="2"/>
  <c r="O73" i="2"/>
  <c r="N73" i="2"/>
  <c r="M73" i="2"/>
  <c r="K73" i="2"/>
  <c r="J73" i="2"/>
  <c r="G73" i="2"/>
  <c r="F73" i="2"/>
  <c r="O72" i="2"/>
  <c r="N72" i="2"/>
  <c r="M72" i="2"/>
  <c r="K72" i="2"/>
  <c r="J72" i="2"/>
  <c r="G72" i="2"/>
  <c r="F72" i="2"/>
  <c r="W69" i="2"/>
  <c r="V69" i="2"/>
  <c r="U69" i="2"/>
  <c r="W68" i="2"/>
  <c r="V68" i="2"/>
  <c r="U68" i="2"/>
  <c r="W66" i="2"/>
  <c r="V66" i="2"/>
  <c r="U66" i="2"/>
  <c r="W65" i="2"/>
  <c r="V65" i="2"/>
  <c r="U65" i="2"/>
  <c r="W64" i="2"/>
  <c r="U64" i="2"/>
  <c r="W63" i="2"/>
  <c r="V63" i="2"/>
  <c r="U63" i="2"/>
  <c r="W61" i="2"/>
  <c r="V61" i="2"/>
  <c r="U61" i="2"/>
  <c r="W60" i="2"/>
  <c r="U60" i="2"/>
  <c r="W59" i="2"/>
  <c r="V59" i="2"/>
  <c r="U59" i="2"/>
  <c r="W58" i="2"/>
  <c r="V58" i="2"/>
  <c r="U58" i="2"/>
  <c r="W57" i="2"/>
  <c r="V57" i="2"/>
  <c r="U57" i="2"/>
  <c r="W56" i="2"/>
  <c r="V56" i="2"/>
  <c r="U56" i="2"/>
  <c r="O69" i="2"/>
  <c r="N69" i="2"/>
  <c r="M69" i="2"/>
  <c r="K69" i="2"/>
  <c r="O68" i="2"/>
  <c r="N68" i="2"/>
  <c r="M68" i="2"/>
  <c r="K68" i="2"/>
  <c r="O66" i="2"/>
  <c r="N66" i="2"/>
  <c r="K66" i="2"/>
  <c r="O65" i="2"/>
  <c r="N65" i="2"/>
  <c r="M65" i="2"/>
  <c r="K65" i="2"/>
  <c r="O64" i="2"/>
  <c r="N64" i="2"/>
  <c r="K64" i="2"/>
  <c r="O63" i="2"/>
  <c r="N63" i="2"/>
  <c r="M63" i="2"/>
  <c r="K63" i="2"/>
  <c r="O61" i="2"/>
  <c r="N61" i="2"/>
  <c r="M61" i="2"/>
  <c r="K61" i="2"/>
  <c r="O60" i="2"/>
  <c r="N60" i="2"/>
  <c r="M60" i="2"/>
  <c r="K60" i="2"/>
  <c r="O59" i="2"/>
  <c r="N59" i="2"/>
  <c r="M59" i="2"/>
  <c r="K59" i="2"/>
  <c r="J59" i="2"/>
  <c r="O58" i="2"/>
  <c r="N58" i="2"/>
  <c r="M58" i="2"/>
  <c r="K58" i="2"/>
  <c r="O57" i="2"/>
  <c r="N57" i="2"/>
  <c r="M57" i="2"/>
  <c r="K57" i="2"/>
  <c r="O56" i="2"/>
  <c r="N56" i="2"/>
  <c r="M56" i="2"/>
  <c r="K56" i="2"/>
  <c r="G69" i="2"/>
  <c r="F69" i="2"/>
  <c r="I68" i="2"/>
  <c r="G68" i="2"/>
  <c r="F68" i="2"/>
  <c r="G66" i="2"/>
  <c r="F66" i="2"/>
  <c r="G65" i="2"/>
  <c r="F65" i="2"/>
  <c r="G64" i="2"/>
  <c r="F64" i="2"/>
  <c r="G63" i="2"/>
  <c r="F63" i="2"/>
  <c r="G61" i="2"/>
  <c r="F61" i="2"/>
  <c r="G60" i="2"/>
  <c r="F60" i="2"/>
  <c r="E60" i="2"/>
  <c r="G59" i="2"/>
  <c r="F59" i="2"/>
  <c r="G58" i="2"/>
  <c r="G57" i="2"/>
  <c r="G56" i="2"/>
  <c r="W53" i="2"/>
  <c r="V53" i="2"/>
  <c r="U53" i="2"/>
  <c r="W52" i="2"/>
  <c r="V52" i="2"/>
  <c r="U52" i="2"/>
  <c r="W51" i="2"/>
  <c r="V51" i="2"/>
  <c r="U51" i="2"/>
  <c r="W49" i="2"/>
  <c r="V49" i="2"/>
  <c r="U49" i="2"/>
  <c r="O53" i="2"/>
  <c r="N53" i="2"/>
  <c r="M53" i="2"/>
  <c r="K53" i="2"/>
  <c r="O52" i="2"/>
  <c r="N52" i="2"/>
  <c r="M52" i="2"/>
  <c r="K52" i="2"/>
  <c r="O51" i="2"/>
  <c r="N51" i="2"/>
  <c r="M51" i="2"/>
  <c r="K51" i="2"/>
  <c r="O49" i="2"/>
  <c r="N49" i="2"/>
  <c r="M49" i="2"/>
  <c r="K49" i="2"/>
  <c r="G53" i="2"/>
  <c r="F53" i="2"/>
  <c r="E53" i="2"/>
  <c r="I52" i="2"/>
  <c r="G52" i="2"/>
  <c r="F52" i="2"/>
  <c r="G51" i="2"/>
  <c r="F51" i="2"/>
  <c r="G49" i="2"/>
  <c r="F49" i="2"/>
  <c r="W47" i="2"/>
  <c r="V47" i="2"/>
  <c r="U47" i="2"/>
  <c r="W46" i="2"/>
  <c r="V46" i="2"/>
  <c r="U46" i="2"/>
  <c r="W45" i="2"/>
  <c r="V45" i="2"/>
  <c r="U45" i="2"/>
  <c r="W44" i="2"/>
  <c r="V44" i="2"/>
  <c r="W43" i="2"/>
  <c r="V43" i="2"/>
  <c r="U43" i="2"/>
  <c r="W42" i="2"/>
  <c r="V42" i="2"/>
  <c r="U42" i="2"/>
  <c r="W40" i="2"/>
  <c r="V40" i="2"/>
  <c r="U40" i="2"/>
  <c r="W39" i="2"/>
  <c r="V39" i="2"/>
  <c r="U39" i="2"/>
  <c r="O47" i="2"/>
  <c r="N47" i="2"/>
  <c r="M47" i="2"/>
  <c r="K47" i="2"/>
  <c r="J47" i="2"/>
  <c r="O46" i="2"/>
  <c r="N46" i="2"/>
  <c r="K46" i="2"/>
  <c r="J46" i="2"/>
  <c r="O45" i="2"/>
  <c r="N45" i="2"/>
  <c r="M45" i="2"/>
  <c r="K45" i="2"/>
  <c r="O44" i="2"/>
  <c r="M44" i="2"/>
  <c r="K44" i="2"/>
  <c r="O43" i="2"/>
  <c r="N43" i="2"/>
  <c r="K43" i="2"/>
  <c r="O42" i="2"/>
  <c r="N42" i="2"/>
  <c r="M42" i="2"/>
  <c r="K42" i="2"/>
  <c r="O40" i="2"/>
  <c r="N40" i="2"/>
  <c r="K40" i="2"/>
  <c r="O39" i="2"/>
  <c r="N39" i="2"/>
  <c r="M39" i="2"/>
  <c r="K39" i="2"/>
  <c r="G47" i="2"/>
  <c r="F47" i="2"/>
  <c r="G46" i="2"/>
  <c r="F46" i="2"/>
  <c r="G45" i="2"/>
  <c r="G44" i="2"/>
  <c r="G43" i="2"/>
  <c r="F43" i="2"/>
  <c r="G42" i="2"/>
  <c r="F42" i="2"/>
  <c r="G40" i="2"/>
  <c r="F40" i="2"/>
  <c r="G39" i="2"/>
  <c r="W37" i="2"/>
  <c r="V37" i="2"/>
  <c r="U37" i="2"/>
  <c r="W36" i="2"/>
  <c r="V36" i="2"/>
  <c r="U36" i="2"/>
  <c r="W35" i="2"/>
  <c r="V35" i="2"/>
  <c r="U35" i="2"/>
  <c r="W33" i="2"/>
  <c r="V33" i="2"/>
  <c r="U33" i="2"/>
  <c r="W32" i="2"/>
  <c r="V32" i="2"/>
  <c r="U32" i="2"/>
  <c r="W31" i="2"/>
  <c r="V31" i="2"/>
  <c r="U31" i="2"/>
  <c r="W30" i="2"/>
  <c r="V30" i="2"/>
  <c r="U30" i="2"/>
  <c r="W29" i="2"/>
  <c r="V29" i="2"/>
  <c r="U29" i="2"/>
  <c r="W28" i="2"/>
  <c r="V28" i="2"/>
  <c r="U28" i="2"/>
  <c r="W27" i="2"/>
  <c r="V27" i="2"/>
  <c r="U27" i="2"/>
  <c r="W26" i="2"/>
  <c r="V26" i="2"/>
  <c r="U26" i="2"/>
  <c r="O37" i="2"/>
  <c r="N37" i="2"/>
  <c r="M37" i="2"/>
  <c r="K37" i="2"/>
  <c r="J37" i="2"/>
  <c r="G37" i="2"/>
  <c r="F37" i="2"/>
  <c r="O36" i="2"/>
  <c r="N36" i="2"/>
  <c r="M36" i="2"/>
  <c r="K36" i="2"/>
  <c r="J36" i="2"/>
  <c r="G36" i="2"/>
  <c r="F36" i="2"/>
  <c r="O35" i="2"/>
  <c r="N35" i="2"/>
  <c r="M35" i="2"/>
  <c r="K35" i="2"/>
  <c r="J35" i="2"/>
  <c r="G35" i="2"/>
  <c r="F35" i="2"/>
  <c r="O33" i="2"/>
  <c r="N33" i="2"/>
  <c r="M33" i="2"/>
  <c r="K33" i="2"/>
  <c r="J33" i="2"/>
  <c r="G33" i="2"/>
  <c r="F33" i="2"/>
  <c r="O32" i="2"/>
  <c r="N32" i="2"/>
  <c r="M32" i="2"/>
  <c r="K32" i="2"/>
  <c r="J32" i="2"/>
  <c r="G32" i="2"/>
  <c r="F32" i="2"/>
  <c r="O31" i="2"/>
  <c r="N31" i="2"/>
  <c r="M31" i="2"/>
  <c r="K31" i="2"/>
  <c r="J31" i="2"/>
  <c r="G31" i="2"/>
  <c r="F31" i="2"/>
  <c r="O30" i="2"/>
  <c r="N30" i="2"/>
  <c r="M30" i="2"/>
  <c r="K30" i="2"/>
  <c r="J30" i="2"/>
  <c r="G30" i="2"/>
  <c r="F30" i="2"/>
  <c r="O29" i="2"/>
  <c r="N29" i="2"/>
  <c r="M29" i="2"/>
  <c r="K29" i="2"/>
  <c r="J29" i="2"/>
  <c r="G29" i="2"/>
  <c r="F29" i="2"/>
  <c r="O28" i="2"/>
  <c r="N28" i="2"/>
  <c r="M28" i="2"/>
  <c r="K28" i="2"/>
  <c r="J28" i="2"/>
  <c r="G28" i="2"/>
  <c r="F28" i="2"/>
  <c r="O27" i="2"/>
  <c r="N27" i="2"/>
  <c r="M27" i="2"/>
  <c r="K27" i="2"/>
  <c r="J27" i="2"/>
  <c r="G27" i="2"/>
  <c r="F27" i="2"/>
  <c r="O26" i="2"/>
  <c r="N26" i="2"/>
  <c r="M26" i="2"/>
  <c r="K26" i="2"/>
  <c r="J26" i="2"/>
  <c r="G26" i="2"/>
  <c r="F26" i="2"/>
  <c r="W23" i="2"/>
  <c r="V23" i="2"/>
  <c r="U23" i="2"/>
  <c r="W22" i="2"/>
  <c r="V22" i="2"/>
  <c r="U22" i="2"/>
  <c r="W21" i="2"/>
  <c r="V21" i="2"/>
  <c r="U21" i="2"/>
  <c r="W20" i="2"/>
  <c r="V20" i="2"/>
  <c r="U20" i="2"/>
  <c r="W19" i="2"/>
  <c r="V19" i="2"/>
  <c r="U19" i="2"/>
  <c r="W18" i="2"/>
  <c r="V18" i="2"/>
  <c r="U18" i="2"/>
  <c r="W17" i="2"/>
  <c r="V17" i="2"/>
  <c r="U17" i="2"/>
  <c r="W15" i="2"/>
  <c r="V15" i="2"/>
  <c r="U15" i="2"/>
  <c r="W14" i="2"/>
  <c r="V14" i="2"/>
  <c r="U14" i="2"/>
  <c r="W13" i="2"/>
  <c r="V13" i="2"/>
  <c r="U13" i="2"/>
  <c r="W12" i="2"/>
  <c r="V12" i="2"/>
  <c r="U12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5" i="2"/>
  <c r="N15" i="2"/>
  <c r="M15" i="2"/>
  <c r="O14" i="2"/>
  <c r="N14" i="2"/>
  <c r="M14" i="2"/>
  <c r="O13" i="2"/>
  <c r="N13" i="2"/>
  <c r="M13" i="2"/>
  <c r="O12" i="2"/>
  <c r="N12" i="2"/>
  <c r="M12" i="2"/>
  <c r="O175" i="2" l="1"/>
  <c r="L176" i="2"/>
  <c r="D178" i="2"/>
  <c r="D177" i="2"/>
  <c r="D176" i="2"/>
  <c r="T174" i="2"/>
  <c r="L174" i="2"/>
  <c r="T173" i="2"/>
  <c r="W171" i="2"/>
  <c r="T172" i="2"/>
  <c r="T171" i="2" s="1"/>
  <c r="T170" i="2"/>
  <c r="T169" i="2"/>
  <c r="T168" i="2"/>
  <c r="W165" i="2"/>
  <c r="T164" i="2"/>
  <c r="T160" i="2"/>
  <c r="T159" i="2"/>
  <c r="V156" i="2"/>
  <c r="W156" i="2"/>
  <c r="T157" i="2"/>
  <c r="W152" i="2"/>
  <c r="V152" i="2"/>
  <c r="L173" i="2"/>
  <c r="N171" i="2"/>
  <c r="L170" i="2"/>
  <c r="L169" i="2"/>
  <c r="L168" i="2"/>
  <c r="O165" i="2"/>
  <c r="L164" i="2"/>
  <c r="L163" i="2"/>
  <c r="L160" i="2"/>
  <c r="L159" i="2"/>
  <c r="L158" i="2"/>
  <c r="O152" i="2"/>
  <c r="L155" i="2"/>
  <c r="L154" i="2"/>
  <c r="L153" i="2"/>
  <c r="D173" i="2"/>
  <c r="G171" i="2"/>
  <c r="D170" i="2"/>
  <c r="D169" i="2"/>
  <c r="D168" i="2"/>
  <c r="D167" i="2"/>
  <c r="D160" i="2"/>
  <c r="D159" i="2"/>
  <c r="D158" i="2"/>
  <c r="D155" i="2"/>
  <c r="D154" i="2"/>
  <c r="D137" i="2"/>
  <c r="V114" i="2"/>
  <c r="L103" i="2"/>
  <c r="L102" i="2"/>
  <c r="O99" i="2"/>
  <c r="M99" i="2"/>
  <c r="L100" i="2"/>
  <c r="D117" i="2"/>
  <c r="D116" i="2"/>
  <c r="G114" i="2"/>
  <c r="D113" i="2"/>
  <c r="D112" i="2"/>
  <c r="D111" i="2"/>
  <c r="D106" i="2"/>
  <c r="D104" i="2"/>
  <c r="E99" i="2"/>
  <c r="D101" i="2"/>
  <c r="D100" i="2"/>
  <c r="D98" i="2"/>
  <c r="T94" i="2"/>
  <c r="L96" i="2"/>
  <c r="L94" i="2"/>
  <c r="G95" i="2"/>
  <c r="G93" i="2" s="1"/>
  <c r="D94" i="2"/>
  <c r="W90" i="2"/>
  <c r="T91" i="2"/>
  <c r="W87" i="2"/>
  <c r="U87" i="2"/>
  <c r="T88" i="2"/>
  <c r="T86" i="2"/>
  <c r="T82" i="2"/>
  <c r="T81" i="2"/>
  <c r="W79" i="2"/>
  <c r="T80" i="2"/>
  <c r="L92" i="2"/>
  <c r="L88" i="2"/>
  <c r="L86" i="2"/>
  <c r="L85" i="2"/>
  <c r="L84" i="2"/>
  <c r="L83" i="2"/>
  <c r="L82" i="2"/>
  <c r="O79" i="2"/>
  <c r="J90" i="2"/>
  <c r="K90" i="2"/>
  <c r="F90" i="2"/>
  <c r="K87" i="2"/>
  <c r="H89" i="2"/>
  <c r="F87" i="2"/>
  <c r="J87" i="2"/>
  <c r="G87" i="2"/>
  <c r="D86" i="2"/>
  <c r="D85" i="2"/>
  <c r="D84" i="2"/>
  <c r="D83" i="2"/>
  <c r="G79" i="2"/>
  <c r="D80" i="2"/>
  <c r="V71" i="2"/>
  <c r="W71" i="2"/>
  <c r="L77" i="2"/>
  <c r="H77" i="2"/>
  <c r="N74" i="2"/>
  <c r="O74" i="2"/>
  <c r="M74" i="2"/>
  <c r="H75" i="2"/>
  <c r="N71" i="2"/>
  <c r="H73" i="2"/>
  <c r="G71" i="2"/>
  <c r="O71" i="2"/>
  <c r="M71" i="2"/>
  <c r="H72" i="2"/>
  <c r="H71" i="2" s="1"/>
  <c r="U67" i="2"/>
  <c r="T65" i="2"/>
  <c r="T64" i="2"/>
  <c r="W62" i="2"/>
  <c r="U62" i="2"/>
  <c r="T61" i="2"/>
  <c r="T59" i="2"/>
  <c r="T58" i="2"/>
  <c r="U55" i="2"/>
  <c r="T56" i="2"/>
  <c r="L69" i="2"/>
  <c r="L68" i="2"/>
  <c r="L66" i="2"/>
  <c r="H66" i="2"/>
  <c r="L65" i="2"/>
  <c r="N62" i="2"/>
  <c r="L63" i="2"/>
  <c r="L61" i="2"/>
  <c r="L60" i="2"/>
  <c r="O55" i="2"/>
  <c r="M55" i="2"/>
  <c r="J55" i="2"/>
  <c r="L58" i="2"/>
  <c r="H58" i="2"/>
  <c r="H57" i="2"/>
  <c r="N55" i="2"/>
  <c r="H56" i="2"/>
  <c r="F67" i="2"/>
  <c r="D68" i="2"/>
  <c r="D66" i="2"/>
  <c r="D64" i="2"/>
  <c r="D61" i="2"/>
  <c r="D59" i="2"/>
  <c r="D57" i="2"/>
  <c r="W50" i="2"/>
  <c r="T51" i="2"/>
  <c r="L53" i="2"/>
  <c r="H53" i="2"/>
  <c r="L49" i="2"/>
  <c r="K48" i="2"/>
  <c r="D53" i="2"/>
  <c r="H52" i="2"/>
  <c r="D52" i="2"/>
  <c r="D49" i="2"/>
  <c r="H40" i="2"/>
  <c r="H39" i="2"/>
  <c r="D44" i="2"/>
  <c r="F41" i="2"/>
  <c r="F38" i="2" s="1"/>
  <c r="V107" i="2"/>
  <c r="T111" i="2"/>
  <c r="T106" i="2"/>
  <c r="E13" i="3"/>
  <c r="E12" i="3"/>
  <c r="E9" i="3"/>
  <c r="E8" i="3"/>
  <c r="E5" i="3"/>
  <c r="E4" i="3"/>
  <c r="O90" i="2"/>
  <c r="E90" i="2"/>
  <c r="I87" i="2"/>
  <c r="F79" i="2"/>
  <c r="D77" i="2"/>
  <c r="H61" i="2"/>
  <c r="H60" i="2"/>
  <c r="I67" i="2"/>
  <c r="D39" i="2"/>
  <c r="G11" i="2"/>
  <c r="B5" i="1"/>
  <c r="C5" i="1"/>
  <c r="D5" i="1"/>
  <c r="F5" i="1"/>
  <c r="B7" i="1"/>
  <c r="C7" i="1"/>
  <c r="D7" i="1"/>
  <c r="F7" i="1"/>
  <c r="B9" i="1"/>
  <c r="B4" i="1" s="1"/>
  <c r="C9" i="1"/>
  <c r="D9" i="1"/>
  <c r="F9" i="1"/>
  <c r="B16" i="1"/>
  <c r="C16" i="1"/>
  <c r="D16" i="1"/>
  <c r="F16" i="1"/>
  <c r="B28" i="1"/>
  <c r="C28" i="1"/>
  <c r="D28" i="1"/>
  <c r="F28" i="1"/>
  <c r="B55" i="1"/>
  <c r="B15" i="1" s="1"/>
  <c r="C55" i="1"/>
  <c r="D55" i="1"/>
  <c r="F55" i="1"/>
  <c r="B65" i="1"/>
  <c r="C65" i="1"/>
  <c r="D65" i="1"/>
  <c r="F65" i="1"/>
  <c r="B113" i="1"/>
  <c r="C113" i="1"/>
  <c r="D113" i="1"/>
  <c r="F113" i="1"/>
  <c r="F112" i="1" s="1"/>
  <c r="F8" i="3" s="1"/>
  <c r="B118" i="1"/>
  <c r="B112" i="1" s="1"/>
  <c r="B8" i="3" s="1"/>
  <c r="B10" i="3" s="1"/>
  <c r="C118" i="1"/>
  <c r="D118" i="1"/>
  <c r="F118" i="1"/>
  <c r="B129" i="1"/>
  <c r="B12" i="3" s="1"/>
  <c r="B14" i="3" s="1"/>
  <c r="C129" i="1"/>
  <c r="C12" i="3" s="1"/>
  <c r="D129" i="1"/>
  <c r="D12" i="3" s="1"/>
  <c r="F129" i="1"/>
  <c r="F12" i="3" s="1"/>
  <c r="E11" i="2"/>
  <c r="F11" i="2"/>
  <c r="I11" i="2"/>
  <c r="J11" i="2"/>
  <c r="K11" i="2"/>
  <c r="D12" i="2"/>
  <c r="H12" i="2"/>
  <c r="D13" i="2"/>
  <c r="H13" i="2"/>
  <c r="D14" i="2"/>
  <c r="H14" i="2"/>
  <c r="D15" i="2"/>
  <c r="H15" i="2"/>
  <c r="E16" i="2"/>
  <c r="F16" i="2"/>
  <c r="G16" i="2"/>
  <c r="I16" i="2"/>
  <c r="I10" i="2" s="1"/>
  <c r="J16" i="2"/>
  <c r="K16" i="2"/>
  <c r="D17" i="2"/>
  <c r="H17" i="2"/>
  <c r="D18" i="2"/>
  <c r="H18" i="2"/>
  <c r="D19" i="2"/>
  <c r="H19" i="2"/>
  <c r="D20" i="2"/>
  <c r="H20" i="2"/>
  <c r="D21" i="2"/>
  <c r="H21" i="2"/>
  <c r="D22" i="2"/>
  <c r="H22" i="2"/>
  <c r="D23" i="2"/>
  <c r="H23" i="2"/>
  <c r="E25" i="2"/>
  <c r="I25" i="2"/>
  <c r="H33" i="2"/>
  <c r="E34" i="2"/>
  <c r="I34" i="2"/>
  <c r="T37" i="2"/>
  <c r="E41" i="2"/>
  <c r="E38" i="2"/>
  <c r="I41" i="2"/>
  <c r="I38" i="2" s="1"/>
  <c r="J41" i="2"/>
  <c r="J38" i="2" s="1"/>
  <c r="H43" i="2"/>
  <c r="H45" i="2"/>
  <c r="D47" i="2"/>
  <c r="E50" i="2"/>
  <c r="E48" i="2" s="1"/>
  <c r="E107" i="2"/>
  <c r="E114" i="2"/>
  <c r="J50" i="2"/>
  <c r="J48" i="2" s="1"/>
  <c r="G50" i="2"/>
  <c r="G48" i="2" s="1"/>
  <c r="O50" i="2"/>
  <c r="O48" i="2" s="1"/>
  <c r="E55" i="2"/>
  <c r="I55" i="2"/>
  <c r="G55" i="2"/>
  <c r="D58" i="2"/>
  <c r="F55" i="2"/>
  <c r="E62" i="2"/>
  <c r="I62" i="2"/>
  <c r="J62" i="2"/>
  <c r="H63" i="2"/>
  <c r="H64" i="2"/>
  <c r="E67" i="2"/>
  <c r="J67" i="2"/>
  <c r="K67" i="2"/>
  <c r="N67" i="2"/>
  <c r="H69" i="2"/>
  <c r="E71" i="2"/>
  <c r="I71" i="2"/>
  <c r="E74" i="2"/>
  <c r="I74" i="2"/>
  <c r="W74" i="2"/>
  <c r="I79" i="2"/>
  <c r="J79" i="2"/>
  <c r="K79" i="2"/>
  <c r="H80" i="2"/>
  <c r="H79" i="2" s="1"/>
  <c r="D81" i="2"/>
  <c r="H81" i="2"/>
  <c r="H82" i="2"/>
  <c r="H83" i="2"/>
  <c r="H84" i="2"/>
  <c r="H85" i="2"/>
  <c r="H86" i="2"/>
  <c r="E87" i="2"/>
  <c r="T89" i="2"/>
  <c r="H94" i="2"/>
  <c r="E95" i="2"/>
  <c r="E93" i="2" s="1"/>
  <c r="I95" i="2"/>
  <c r="I93" i="2" s="1"/>
  <c r="J95" i="2"/>
  <c r="J93" i="2" s="1"/>
  <c r="K95" i="2"/>
  <c r="K93" i="2" s="1"/>
  <c r="F95" i="2"/>
  <c r="F93" i="2" s="1"/>
  <c r="H96" i="2"/>
  <c r="H95" i="2" s="1"/>
  <c r="N95" i="2"/>
  <c r="N93" i="2" s="1"/>
  <c r="O95" i="2"/>
  <c r="O93" i="2" s="1"/>
  <c r="V95" i="2"/>
  <c r="W95" i="2"/>
  <c r="W93" i="2" s="1"/>
  <c r="H98" i="2"/>
  <c r="L98" i="2"/>
  <c r="I99" i="2"/>
  <c r="J99" i="2"/>
  <c r="K99" i="2"/>
  <c r="H100" i="2"/>
  <c r="H101" i="2"/>
  <c r="D102" i="2"/>
  <c r="H102" i="2"/>
  <c r="H103" i="2"/>
  <c r="H104" i="2"/>
  <c r="D105" i="2"/>
  <c r="H105" i="2"/>
  <c r="H106" i="2"/>
  <c r="I107" i="2"/>
  <c r="J107" i="2"/>
  <c r="K107" i="2"/>
  <c r="H108" i="2"/>
  <c r="D109" i="2"/>
  <c r="H109" i="2"/>
  <c r="H110" i="2"/>
  <c r="H111" i="2"/>
  <c r="H112" i="2"/>
  <c r="H113" i="2"/>
  <c r="I114" i="2"/>
  <c r="J114" i="2"/>
  <c r="K114" i="2"/>
  <c r="K97" i="2" s="1"/>
  <c r="H115" i="2"/>
  <c r="F114" i="2"/>
  <c r="H116" i="2"/>
  <c r="W114" i="2"/>
  <c r="H117" i="2"/>
  <c r="D118" i="2"/>
  <c r="H118" i="2"/>
  <c r="D119" i="2"/>
  <c r="H121" i="2"/>
  <c r="E122" i="2"/>
  <c r="E120" i="2" s="1"/>
  <c r="I122" i="2"/>
  <c r="I120" i="2" s="1"/>
  <c r="K122" i="2"/>
  <c r="K120" i="2" s="1"/>
  <c r="F122" i="2"/>
  <c r="F120" i="2" s="1"/>
  <c r="H123" i="2"/>
  <c r="N122" i="2"/>
  <c r="H125" i="2"/>
  <c r="H126" i="2"/>
  <c r="H127" i="2"/>
  <c r="H129" i="2"/>
  <c r="E132" i="2"/>
  <c r="E130" i="2" s="1"/>
  <c r="D133" i="2"/>
  <c r="F132" i="2"/>
  <c r="F130" i="2" s="1"/>
  <c r="O132" i="2"/>
  <c r="H136" i="2"/>
  <c r="H138" i="2"/>
  <c r="I140" i="2"/>
  <c r="I139" i="2" s="1"/>
  <c r="J140" i="2"/>
  <c r="J139" i="2" s="1"/>
  <c r="K140" i="2"/>
  <c r="K139" i="2" s="1"/>
  <c r="H141" i="2"/>
  <c r="E140" i="2"/>
  <c r="E139" i="2" s="1"/>
  <c r="H142" i="2"/>
  <c r="D143" i="2"/>
  <c r="H143" i="2"/>
  <c r="L143" i="2"/>
  <c r="H144" i="2"/>
  <c r="D145" i="2"/>
  <c r="H145" i="2"/>
  <c r="L145" i="2"/>
  <c r="H146" i="2"/>
  <c r="D147" i="2"/>
  <c r="H147" i="2"/>
  <c r="L147" i="2"/>
  <c r="H148" i="2"/>
  <c r="D149" i="2"/>
  <c r="H149" i="2"/>
  <c r="L149" i="2"/>
  <c r="H150" i="2"/>
  <c r="E152" i="2"/>
  <c r="I152" i="2"/>
  <c r="J152" i="2"/>
  <c r="K152" i="2"/>
  <c r="H153" i="2"/>
  <c r="H154" i="2"/>
  <c r="T154" i="2"/>
  <c r="H155" i="2"/>
  <c r="T155" i="2"/>
  <c r="E156" i="2"/>
  <c r="I156" i="2"/>
  <c r="J156" i="2"/>
  <c r="K156" i="2"/>
  <c r="K151" i="2" s="1"/>
  <c r="H157" i="2"/>
  <c r="M156" i="2"/>
  <c r="H158" i="2"/>
  <c r="H159" i="2"/>
  <c r="H160" i="2"/>
  <c r="E161" i="2"/>
  <c r="I161" i="2"/>
  <c r="J161" i="2"/>
  <c r="K161" i="2"/>
  <c r="F161" i="2"/>
  <c r="H162" i="2"/>
  <c r="H163" i="2"/>
  <c r="H164" i="2"/>
  <c r="E165" i="2"/>
  <c r="I165" i="2"/>
  <c r="J165" i="2"/>
  <c r="K165" i="2"/>
  <c r="H166" i="2"/>
  <c r="H167" i="2"/>
  <c r="H168" i="2"/>
  <c r="H169" i="2"/>
  <c r="H170" i="2"/>
  <c r="E171" i="2"/>
  <c r="I171" i="2"/>
  <c r="J171" i="2"/>
  <c r="K171" i="2"/>
  <c r="F171" i="2"/>
  <c r="H172" i="2"/>
  <c r="H171" i="2" s="1"/>
  <c r="O171" i="2"/>
  <c r="V171" i="2"/>
  <c r="H173" i="2"/>
  <c r="D174" i="2"/>
  <c r="H174" i="2"/>
  <c r="I175" i="2"/>
  <c r="J175" i="2"/>
  <c r="H176" i="2"/>
  <c r="H177" i="2"/>
  <c r="F175" i="2"/>
  <c r="H178" i="2"/>
  <c r="L178" i="2"/>
  <c r="M175" i="2"/>
  <c r="K175" i="2"/>
  <c r="G175" i="2"/>
  <c r="E175" i="2"/>
  <c r="U171" i="2"/>
  <c r="M171" i="2"/>
  <c r="F165" i="2"/>
  <c r="M161" i="2"/>
  <c r="G152" i="2"/>
  <c r="D141" i="2"/>
  <c r="D124" i="2"/>
  <c r="T121" i="2"/>
  <c r="D121" i="2"/>
  <c r="L108" i="2"/>
  <c r="N99" i="2"/>
  <c r="L166" i="2"/>
  <c r="T153" i="2"/>
  <c r="H133" i="2"/>
  <c r="F99" i="2"/>
  <c r="F25" i="2"/>
  <c r="L91" i="2"/>
  <c r="D88" i="2"/>
  <c r="L80" i="2"/>
  <c r="L75" i="2"/>
  <c r="L72" i="2"/>
  <c r="H68" i="2"/>
  <c r="V62" i="2"/>
  <c r="L56" i="2"/>
  <c r="D56" i="2"/>
  <c r="L51" i="2"/>
  <c r="D42" i="2"/>
  <c r="M34" i="2"/>
  <c r="H26" i="2"/>
  <c r="H88" i="2"/>
  <c r="T49" i="2"/>
  <c r="L42" i="2"/>
  <c r="H42" i="2"/>
  <c r="D40" i="2"/>
  <c r="L17" i="2"/>
  <c r="T167" i="2"/>
  <c r="D164" i="2"/>
  <c r="D153" i="2"/>
  <c r="U90" i="2"/>
  <c r="D60" i="2"/>
  <c r="L28" i="2"/>
  <c r="L52" i="2"/>
  <c r="W161" i="2"/>
  <c r="F156" i="2"/>
  <c r="M152" i="2"/>
  <c r="N140" i="2"/>
  <c r="N139" i="2" s="1"/>
  <c r="M132" i="2"/>
  <c r="M130" i="2" s="1"/>
  <c r="M87" i="2"/>
  <c r="T77" i="2"/>
  <c r="K55" i="2"/>
  <c r="N50" i="2"/>
  <c r="N48" i="2" s="1"/>
  <c r="L44" i="2"/>
  <c r="T33" i="2"/>
  <c r="L30" i="2"/>
  <c r="L21" i="2"/>
  <c r="U165" i="2"/>
  <c r="M165" i="2"/>
  <c r="O161" i="2"/>
  <c r="D163" i="2"/>
  <c r="N156" i="2"/>
  <c r="U152" i="2"/>
  <c r="F152" i="2"/>
  <c r="D103" i="2"/>
  <c r="V79" i="2"/>
  <c r="M79" i="2"/>
  <c r="D65" i="2"/>
  <c r="M62" i="2"/>
  <c r="T60" i="2"/>
  <c r="W55" i="2"/>
  <c r="L59" i="2"/>
  <c r="T53" i="2"/>
  <c r="D46" i="2"/>
  <c r="W41" i="2"/>
  <c r="W38" i="2" s="1"/>
  <c r="T27" i="2"/>
  <c r="K25" i="2"/>
  <c r="T22" i="2"/>
  <c r="T20" i="2"/>
  <c r="L18" i="2"/>
  <c r="O11" i="2"/>
  <c r="T158" i="2"/>
  <c r="K74" i="2"/>
  <c r="K71" i="2"/>
  <c r="D69" i="2"/>
  <c r="T57" i="2"/>
  <c r="D45" i="2"/>
  <c r="T13" i="2"/>
  <c r="T17" i="2"/>
  <c r="O62" i="2"/>
  <c r="L89" i="2"/>
  <c r="V41" i="2"/>
  <c r="V38" i="2" s="1"/>
  <c r="F62" i="2"/>
  <c r="L57" i="2"/>
  <c r="O67" i="2"/>
  <c r="H76" i="2"/>
  <c r="V87" i="2"/>
  <c r="T35" i="2"/>
  <c r="H46" i="2"/>
  <c r="T83" i="2"/>
  <c r="T66" i="2"/>
  <c r="H27" i="2"/>
  <c r="H29" i="2"/>
  <c r="H31" i="2"/>
  <c r="L32" i="2"/>
  <c r="T40" i="2"/>
  <c r="M50" i="2"/>
  <c r="M48" i="2" s="1"/>
  <c r="V50" i="2"/>
  <c r="V48" i="2" s="1"/>
  <c r="H92" i="2"/>
  <c r="T85" i="2"/>
  <c r="O87" i="2"/>
  <c r="T92" i="2"/>
  <c r="D11" i="2"/>
  <c r="J10" i="2"/>
  <c r="F10" i="2"/>
  <c r="L33" i="2"/>
  <c r="H59" i="2"/>
  <c r="W67" i="2"/>
  <c r="T84" i="2"/>
  <c r="M90" i="2"/>
  <c r="H140" i="2"/>
  <c r="D112" i="1"/>
  <c r="D8" i="3" s="1"/>
  <c r="C15" i="1"/>
  <c r="H93" i="2" l="1"/>
  <c r="E17" i="3"/>
  <c r="H99" i="2"/>
  <c r="N70" i="2"/>
  <c r="D4" i="1"/>
  <c r="E14" i="3"/>
  <c r="H139" i="2"/>
  <c r="F15" i="1"/>
  <c r="O70" i="2"/>
  <c r="U54" i="2"/>
  <c r="K10" i="2"/>
  <c r="M70" i="2"/>
  <c r="W78" i="2"/>
  <c r="E10" i="2"/>
  <c r="E6" i="3"/>
  <c r="H114" i="2"/>
  <c r="G10" i="2"/>
  <c r="I151" i="2"/>
  <c r="J97" i="2"/>
  <c r="D16" i="2"/>
  <c r="D10" i="2" s="1"/>
  <c r="E151" i="2"/>
  <c r="E16" i="3"/>
  <c r="E18" i="3" s="1"/>
  <c r="E10" i="3"/>
  <c r="J151" i="2"/>
  <c r="H107" i="2"/>
  <c r="I97" i="2"/>
  <c r="B3" i="1"/>
  <c r="H175" i="2"/>
  <c r="E70" i="2"/>
  <c r="I24" i="2"/>
  <c r="H16" i="2"/>
  <c r="H11" i="2"/>
  <c r="H10" i="2" s="1"/>
  <c r="C112" i="1"/>
  <c r="D15" i="1"/>
  <c r="D3" i="1" s="1"/>
  <c r="F4" i="1"/>
  <c r="F3" i="1" s="1"/>
  <c r="C4" i="1"/>
  <c r="C3" i="1" s="1"/>
  <c r="C4" i="3" s="1"/>
  <c r="K78" i="2"/>
  <c r="E97" i="2"/>
  <c r="T90" i="2"/>
  <c r="H74" i="2"/>
  <c r="H70" i="2" s="1"/>
  <c r="L87" i="2"/>
  <c r="T113" i="2"/>
  <c r="L55" i="2"/>
  <c r="D67" i="2"/>
  <c r="H87" i="2"/>
  <c r="L90" i="2"/>
  <c r="L50" i="2"/>
  <c r="L48" i="2" s="1"/>
  <c r="W70" i="2"/>
  <c r="I70" i="2"/>
  <c r="E24" i="2"/>
  <c r="I54" i="2"/>
  <c r="F54" i="2"/>
  <c r="D152" i="2"/>
  <c r="H165" i="2"/>
  <c r="H161" i="2"/>
  <c r="H156" i="2"/>
  <c r="H152" i="2"/>
  <c r="K70" i="2"/>
  <c r="T152" i="2"/>
  <c r="L152" i="2"/>
  <c r="J54" i="2"/>
  <c r="L104" i="2"/>
  <c r="L105" i="2"/>
  <c r="L106" i="2"/>
  <c r="M107" i="2"/>
  <c r="O107" i="2"/>
  <c r="L110" i="2"/>
  <c r="L111" i="2"/>
  <c r="L112" i="2"/>
  <c r="L113" i="2"/>
  <c r="O114" i="2"/>
  <c r="N114" i="2"/>
  <c r="L117" i="2"/>
  <c r="L118" i="2"/>
  <c r="L119" i="2"/>
  <c r="T98" i="2"/>
  <c r="T103" i="2"/>
  <c r="W99" i="2"/>
  <c r="T117" i="2"/>
  <c r="T118" i="2"/>
  <c r="T119" i="2"/>
  <c r="H131" i="2"/>
  <c r="L131" i="2"/>
  <c r="I132" i="2"/>
  <c r="I130" i="2" s="1"/>
  <c r="K132" i="2"/>
  <c r="K130" i="2" s="1"/>
  <c r="D134" i="2"/>
  <c r="H134" i="2"/>
  <c r="L134" i="2"/>
  <c r="M151" i="2"/>
  <c r="N175" i="2"/>
  <c r="T176" i="2"/>
  <c r="W175" i="2"/>
  <c r="E54" i="2"/>
  <c r="T104" i="2"/>
  <c r="T109" i="2"/>
  <c r="T112" i="2"/>
  <c r="T116" i="2"/>
  <c r="M11" i="2"/>
  <c r="L13" i="2"/>
  <c r="L14" i="2"/>
  <c r="L15" i="2"/>
  <c r="M16" i="2"/>
  <c r="O16" i="2"/>
  <c r="O10" i="2" s="1"/>
  <c r="L19" i="2"/>
  <c r="L16" i="2" s="1"/>
  <c r="L20" i="2"/>
  <c r="L22" i="2"/>
  <c r="L23" i="2"/>
  <c r="T12" i="2"/>
  <c r="U11" i="2"/>
  <c r="W11" i="2"/>
  <c r="T14" i="2"/>
  <c r="T15" i="2"/>
  <c r="V16" i="2"/>
  <c r="T18" i="2"/>
  <c r="W16" i="2"/>
  <c r="T19" i="2"/>
  <c r="T21" i="2"/>
  <c r="T23" i="2"/>
  <c r="G25" i="2"/>
  <c r="N25" i="2"/>
  <c r="D27" i="2"/>
  <c r="J25" i="2"/>
  <c r="O25" i="2"/>
  <c r="D28" i="2"/>
  <c r="H28" i="2"/>
  <c r="D29" i="2"/>
  <c r="L29" i="2"/>
  <c r="D30" i="2"/>
  <c r="H30" i="2"/>
  <c r="D31" i="2"/>
  <c r="L31" i="2"/>
  <c r="D32" i="2"/>
  <c r="H32" i="2"/>
  <c r="D33" i="2"/>
  <c r="K34" i="2"/>
  <c r="K24" i="2" s="1"/>
  <c r="N34" i="2"/>
  <c r="F34" i="2"/>
  <c r="F24" i="2" s="1"/>
  <c r="L36" i="2"/>
  <c r="O34" i="2"/>
  <c r="D37" i="2"/>
  <c r="H37" i="2"/>
  <c r="U25" i="2"/>
  <c r="W25" i="2"/>
  <c r="V25" i="2"/>
  <c r="T28" i="2"/>
  <c r="T29" i="2"/>
  <c r="T30" i="2"/>
  <c r="T31" i="2"/>
  <c r="T32" i="2"/>
  <c r="U34" i="2"/>
  <c r="W34" i="2"/>
  <c r="T36" i="2"/>
  <c r="T34" i="2" s="1"/>
  <c r="J132" i="2"/>
  <c r="J130" i="2" s="1"/>
  <c r="L135" i="2"/>
  <c r="D136" i="2"/>
  <c r="L136" i="2"/>
  <c r="H137" i="2"/>
  <c r="L137" i="2"/>
  <c r="D138" i="2"/>
  <c r="L138" i="2"/>
  <c r="T131" i="2"/>
  <c r="U132" i="2"/>
  <c r="U130" i="2" s="1"/>
  <c r="W132" i="2"/>
  <c r="W130" i="2" s="1"/>
  <c r="T135" i="2"/>
  <c r="T136" i="2"/>
  <c r="T137" i="2"/>
  <c r="T138" i="2"/>
  <c r="M78" i="2"/>
  <c r="W54" i="2"/>
  <c r="F151" i="2"/>
  <c r="D43" i="2"/>
  <c r="D41" i="2" s="1"/>
  <c r="D38" i="2" s="1"/>
  <c r="L39" i="2"/>
  <c r="L40" i="2"/>
  <c r="M41" i="2"/>
  <c r="M38" i="2" s="1"/>
  <c r="O41" i="2"/>
  <c r="O38" i="2" s="1"/>
  <c r="L43" i="2"/>
  <c r="L45" i="2"/>
  <c r="L46" i="2"/>
  <c r="L47" i="2"/>
  <c r="T39" i="2"/>
  <c r="T43" i="2"/>
  <c r="T44" i="2"/>
  <c r="T45" i="2"/>
  <c r="T46" i="2"/>
  <c r="T47" i="2"/>
  <c r="G140" i="2"/>
  <c r="G139" i="2" s="1"/>
  <c r="D144" i="2"/>
  <c r="D146" i="2"/>
  <c r="D148" i="2"/>
  <c r="D150" i="2"/>
  <c r="O140" i="2"/>
  <c r="O139" i="2" s="1"/>
  <c r="L142" i="2"/>
  <c r="L144" i="2"/>
  <c r="L146" i="2"/>
  <c r="L148" i="2"/>
  <c r="L150" i="2"/>
  <c r="V140" i="2"/>
  <c r="V139" i="2" s="1"/>
  <c r="T142" i="2"/>
  <c r="W140" i="2"/>
  <c r="W139" i="2" s="1"/>
  <c r="T143" i="2"/>
  <c r="T144" i="2"/>
  <c r="T145" i="2"/>
  <c r="T146" i="2"/>
  <c r="T147" i="2"/>
  <c r="T148" i="2"/>
  <c r="T149" i="2"/>
  <c r="T150" i="2"/>
  <c r="W48" i="2"/>
  <c r="D55" i="2"/>
  <c r="N54" i="2"/>
  <c r="J78" i="2"/>
  <c r="O78" i="2"/>
  <c r="T79" i="2"/>
  <c r="D125" i="2"/>
  <c r="D126" i="2"/>
  <c r="D127" i="2"/>
  <c r="D129" i="2"/>
  <c r="O122" i="2"/>
  <c r="O120" i="2" s="1"/>
  <c r="L124" i="2"/>
  <c r="L125" i="2"/>
  <c r="L126" i="2"/>
  <c r="L127" i="2"/>
  <c r="L129" i="2"/>
  <c r="T123" i="2"/>
  <c r="T124" i="2"/>
  <c r="W122" i="2"/>
  <c r="W120" i="2" s="1"/>
  <c r="T125" i="2"/>
  <c r="T127" i="2"/>
  <c r="T129" i="2"/>
  <c r="W151" i="2"/>
  <c r="O130" i="2"/>
  <c r="L67" i="2"/>
  <c r="T55" i="2"/>
  <c r="D99" i="2"/>
  <c r="M25" i="2"/>
  <c r="M24" i="2" s="1"/>
  <c r="L27" i="2"/>
  <c r="D35" i="2"/>
  <c r="G34" i="2"/>
  <c r="H36" i="2"/>
  <c r="J34" i="2"/>
  <c r="K41" i="2"/>
  <c r="K38" i="2" s="1"/>
  <c r="H44" i="2"/>
  <c r="H41" i="2" s="1"/>
  <c r="T42" i="2"/>
  <c r="U41" i="2"/>
  <c r="U38" i="2" s="1"/>
  <c r="F50" i="2"/>
  <c r="F48" i="2" s="1"/>
  <c r="D51" i="2"/>
  <c r="D50" i="2" s="1"/>
  <c r="D48" i="2" s="1"/>
  <c r="H51" i="2"/>
  <c r="H50" i="2" s="1"/>
  <c r="K50" i="2"/>
  <c r="T52" i="2"/>
  <c r="T50" i="2" s="1"/>
  <c r="T48" i="2" s="1"/>
  <c r="U50" i="2"/>
  <c r="U48" i="2" s="1"/>
  <c r="G62" i="2"/>
  <c r="D63" i="2"/>
  <c r="D62" i="2" s="1"/>
  <c r="H65" i="2"/>
  <c r="K62" i="2"/>
  <c r="H62" i="2" s="1"/>
  <c r="V67" i="2"/>
  <c r="T68" i="2"/>
  <c r="F71" i="2"/>
  <c r="D72" i="2"/>
  <c r="F74" i="2"/>
  <c r="D75" i="2"/>
  <c r="D76" i="2"/>
  <c r="G74" i="2"/>
  <c r="G70" i="2" s="1"/>
  <c r="U71" i="2"/>
  <c r="T72" i="2"/>
  <c r="U74" i="2"/>
  <c r="T75" i="2"/>
  <c r="V74" i="2"/>
  <c r="V70" i="2" s="1"/>
  <c r="T76" i="2"/>
  <c r="I90" i="2"/>
  <c r="I78" i="2" s="1"/>
  <c r="H91" i="2"/>
  <c r="H90" i="2" s="1"/>
  <c r="G90" i="2"/>
  <c r="G78" i="2" s="1"/>
  <c r="D92" i="2"/>
  <c r="L81" i="2"/>
  <c r="L79" i="2" s="1"/>
  <c r="N79" i="2"/>
  <c r="U95" i="2"/>
  <c r="U93" i="2" s="1"/>
  <c r="T96" i="2"/>
  <c r="T95" i="2" s="1"/>
  <c r="T93" i="2" s="1"/>
  <c r="G107" i="2"/>
  <c r="D108" i="2"/>
  <c r="D110" i="2"/>
  <c r="F107" i="2"/>
  <c r="F97" i="2" s="1"/>
  <c r="L109" i="2"/>
  <c r="N107" i="2"/>
  <c r="M114" i="2"/>
  <c r="L115" i="2"/>
  <c r="V99" i="2"/>
  <c r="V97" i="2" s="1"/>
  <c r="T100" i="2"/>
  <c r="W107" i="2"/>
  <c r="T108" i="2"/>
  <c r="D123" i="2"/>
  <c r="G122" i="2"/>
  <c r="G120" i="2" s="1"/>
  <c r="J122" i="2"/>
  <c r="J120" i="2" s="1"/>
  <c r="H124" i="2"/>
  <c r="H122" i="2" s="1"/>
  <c r="H120" i="2" s="1"/>
  <c r="M122" i="2"/>
  <c r="M120" i="2" s="1"/>
  <c r="L123" i="2"/>
  <c r="D131" i="2"/>
  <c r="N132" i="2"/>
  <c r="N130" i="2" s="1"/>
  <c r="L133" i="2"/>
  <c r="G132" i="2"/>
  <c r="G130" i="2" s="1"/>
  <c r="D135" i="2"/>
  <c r="T134" i="2"/>
  <c r="V132" i="2"/>
  <c r="V130" i="2" s="1"/>
  <c r="F140" i="2"/>
  <c r="F139" i="2" s="1"/>
  <c r="D142" i="2"/>
  <c r="M140" i="2"/>
  <c r="M139" i="2" s="1"/>
  <c r="L141" i="2"/>
  <c r="G156" i="2"/>
  <c r="D157" i="2"/>
  <c r="D156" i="2" s="1"/>
  <c r="G161" i="2"/>
  <c r="D162" i="2"/>
  <c r="D161" i="2" s="1"/>
  <c r="D166" i="2"/>
  <c r="D165" i="2" s="1"/>
  <c r="G165" i="2"/>
  <c r="O156" i="2"/>
  <c r="O151" i="2" s="1"/>
  <c r="L157" i="2"/>
  <c r="L156" i="2" s="1"/>
  <c r="N161" i="2"/>
  <c r="L162" i="2"/>
  <c r="L161" i="2" s="1"/>
  <c r="L167" i="2"/>
  <c r="L165" i="2" s="1"/>
  <c r="N165" i="2"/>
  <c r="T162" i="2"/>
  <c r="U161" i="2"/>
  <c r="V161" i="2"/>
  <c r="T163" i="2"/>
  <c r="V165" i="2"/>
  <c r="T166" i="2"/>
  <c r="T165" i="2" s="1"/>
  <c r="T177" i="2"/>
  <c r="V175" i="2"/>
  <c r="T156" i="2"/>
  <c r="T87" i="2"/>
  <c r="N120" i="2"/>
  <c r="D175" i="2"/>
  <c r="U175" i="2"/>
  <c r="D73" i="2"/>
  <c r="L35" i="2"/>
  <c r="T73" i="2"/>
  <c r="M67" i="2"/>
  <c r="M54" i="2" s="1"/>
  <c r="V90" i="2"/>
  <c r="V78" i="2" s="1"/>
  <c r="T69" i="2"/>
  <c r="V122" i="2"/>
  <c r="V120" i="2" s="1"/>
  <c r="U16" i="2"/>
  <c r="L64" i="2"/>
  <c r="L62" i="2" s="1"/>
  <c r="L73" i="2"/>
  <c r="L71" i="2" s="1"/>
  <c r="L76" i="2"/>
  <c r="L74" i="2" s="1"/>
  <c r="N11" i="2"/>
  <c r="L101" i="2"/>
  <c r="N152" i="2"/>
  <c r="V11" i="2"/>
  <c r="N41" i="2"/>
  <c r="N38" i="2" s="1"/>
  <c r="U79" i="2"/>
  <c r="U78" i="2" s="1"/>
  <c r="U140" i="2"/>
  <c r="U139" i="2" s="1"/>
  <c r="U156" i="2"/>
  <c r="L177" i="2"/>
  <c r="L175" i="2" s="1"/>
  <c r="T63" i="2"/>
  <c r="T62" i="2" s="1"/>
  <c r="L116" i="2"/>
  <c r="L12" i="2"/>
  <c r="L26" i="2"/>
  <c r="H49" i="2"/>
  <c r="D96" i="2"/>
  <c r="D95" i="2" s="1"/>
  <c r="D93" i="2" s="1"/>
  <c r="T26" i="2"/>
  <c r="H35" i="2"/>
  <c r="I50" i="2"/>
  <c r="I48" i="2" s="1"/>
  <c r="G67" i="2"/>
  <c r="J71" i="2"/>
  <c r="J74" i="2"/>
  <c r="E79" i="2"/>
  <c r="E78" i="2" s="1"/>
  <c r="D91" i="2"/>
  <c r="M95" i="2"/>
  <c r="D26" i="2"/>
  <c r="V93" i="2"/>
  <c r="T133" i="2"/>
  <c r="D172" i="2"/>
  <c r="D171" i="2" s="1"/>
  <c r="G99" i="2"/>
  <c r="D115" i="2"/>
  <c r="D114" i="2" s="1"/>
  <c r="L121" i="2"/>
  <c r="T141" i="2"/>
  <c r="L172" i="2"/>
  <c r="L171" i="2" s="1"/>
  <c r="H135" i="2"/>
  <c r="N90" i="2"/>
  <c r="N87" i="2"/>
  <c r="V34" i="2"/>
  <c r="D36" i="2"/>
  <c r="H67" i="2"/>
  <c r="O54" i="2"/>
  <c r="H55" i="2"/>
  <c r="N16" i="2"/>
  <c r="L37" i="2"/>
  <c r="G41" i="2"/>
  <c r="G38" i="2" s="1"/>
  <c r="H47" i="2"/>
  <c r="V55" i="2"/>
  <c r="D82" i="2"/>
  <c r="D79" i="2" s="1"/>
  <c r="D89" i="2"/>
  <c r="D87" i="2" s="1"/>
  <c r="T102" i="2"/>
  <c r="T105" i="2"/>
  <c r="T128" i="2"/>
  <c r="C6" i="3"/>
  <c r="F78" i="2"/>
  <c r="H97" i="2" l="1"/>
  <c r="B4" i="3"/>
  <c r="B16" i="3" s="1"/>
  <c r="B132" i="1"/>
  <c r="L78" i="2"/>
  <c r="T140" i="2"/>
  <c r="T139" i="2" s="1"/>
  <c r="T78" i="2"/>
  <c r="U151" i="2"/>
  <c r="V54" i="2"/>
  <c r="G97" i="2"/>
  <c r="G54" i="2"/>
  <c r="H34" i="2"/>
  <c r="H78" i="2"/>
  <c r="H132" i="2"/>
  <c r="H130" i="2" s="1"/>
  <c r="M97" i="2"/>
  <c r="V24" i="2"/>
  <c r="L34" i="2"/>
  <c r="J24" i="2"/>
  <c r="F4" i="3"/>
  <c r="F16" i="3" s="1"/>
  <c r="F132" i="1"/>
  <c r="D4" i="3"/>
  <c r="D16" i="3" s="1"/>
  <c r="D132" i="1"/>
  <c r="C8" i="3"/>
  <c r="C132" i="1"/>
  <c r="H25" i="2"/>
  <c r="T175" i="2"/>
  <c r="N10" i="2"/>
  <c r="D140" i="2"/>
  <c r="D139" i="2" s="1"/>
  <c r="T16" i="2"/>
  <c r="M10" i="2"/>
  <c r="U10" i="2"/>
  <c r="L107" i="2"/>
  <c r="T41" i="2"/>
  <c r="T38" i="2" s="1"/>
  <c r="L41" i="2"/>
  <c r="L38" i="2" s="1"/>
  <c r="T107" i="2"/>
  <c r="H54" i="2"/>
  <c r="D25" i="2"/>
  <c r="D90" i="2"/>
  <c r="D78" i="2" s="1"/>
  <c r="L25" i="2"/>
  <c r="L99" i="2"/>
  <c r="L54" i="2"/>
  <c r="H48" i="2"/>
  <c r="E8" i="2"/>
  <c r="B5" i="3" s="1"/>
  <c r="L122" i="2"/>
  <c r="L120" i="2" s="1"/>
  <c r="N97" i="2"/>
  <c r="T67" i="2"/>
  <c r="T54" i="2" s="1"/>
  <c r="L70" i="2"/>
  <c r="D54" i="2"/>
  <c r="G24" i="2"/>
  <c r="I8" i="2"/>
  <c r="O97" i="2"/>
  <c r="H151" i="2"/>
  <c r="H38" i="2"/>
  <c r="T25" i="2"/>
  <c r="T24" i="2" s="1"/>
  <c r="L11" i="2"/>
  <c r="L10" i="2" s="1"/>
  <c r="N151" i="2"/>
  <c r="D71" i="2"/>
  <c r="L140" i="2"/>
  <c r="L139" i="2" s="1"/>
  <c r="D132" i="2"/>
  <c r="D130" i="2" s="1"/>
  <c r="L132" i="2"/>
  <c r="L130" i="2" s="1"/>
  <c r="W97" i="2"/>
  <c r="W10" i="2"/>
  <c r="T11" i="2"/>
  <c r="V10" i="2"/>
  <c r="D122" i="2"/>
  <c r="D120" i="2" s="1"/>
  <c r="D107" i="2"/>
  <c r="D97" i="2" s="1"/>
  <c r="U24" i="2"/>
  <c r="N24" i="2"/>
  <c r="J70" i="2"/>
  <c r="D74" i="2"/>
  <c r="W24" i="2"/>
  <c r="O24" i="2"/>
  <c r="V151" i="2"/>
  <c r="T161" i="2"/>
  <c r="T151" i="2" s="1"/>
  <c r="G151" i="2"/>
  <c r="L151" i="2"/>
  <c r="D151" i="2"/>
  <c r="T132" i="2"/>
  <c r="T130" i="2" s="1"/>
  <c r="U70" i="2"/>
  <c r="F70" i="2"/>
  <c r="F8" i="2" s="1"/>
  <c r="D34" i="2"/>
  <c r="K54" i="2"/>
  <c r="K8" i="2" s="1"/>
  <c r="L95" i="2"/>
  <c r="L93" i="2" s="1"/>
  <c r="M93" i="2"/>
  <c r="L114" i="2"/>
  <c r="N78" i="2"/>
  <c r="T74" i="2"/>
  <c r="T71" i="2"/>
  <c r="T99" i="2"/>
  <c r="H24" i="2" l="1"/>
  <c r="L24" i="2"/>
  <c r="J8" i="2"/>
  <c r="H8" i="2" s="1"/>
  <c r="T10" i="2"/>
  <c r="O8" i="2"/>
  <c r="D13" i="3" s="1"/>
  <c r="D14" i="3" s="1"/>
  <c r="D70" i="2"/>
  <c r="V8" i="2"/>
  <c r="F9" i="3" s="1"/>
  <c r="F10" i="3" s="1"/>
  <c r="C10" i="3"/>
  <c r="C16" i="3"/>
  <c r="M8" i="2"/>
  <c r="D5" i="3" s="1"/>
  <c r="D6" i="3" s="1"/>
  <c r="L97" i="2"/>
  <c r="D24" i="2"/>
  <c r="G8" i="2"/>
  <c r="D8" i="2" s="1"/>
  <c r="W8" i="2"/>
  <c r="F13" i="3" s="1"/>
  <c r="F14" i="3" s="1"/>
  <c r="N8" i="2"/>
  <c r="C13" i="3"/>
  <c r="T70" i="2"/>
  <c r="B17" i="3"/>
  <c r="B18" i="3" s="1"/>
  <c r="B6" i="3"/>
  <c r="L8" i="2" l="1"/>
  <c r="D9" i="3"/>
  <c r="D10" i="3" s="1"/>
  <c r="C17" i="3"/>
  <c r="C18" i="3" s="1"/>
  <c r="C14" i="3"/>
  <c r="D17" i="3" l="1"/>
  <c r="D18" i="3" s="1"/>
  <c r="U115" i="2" l="1"/>
  <c r="U114" i="2" l="1"/>
  <c r="T115" i="2"/>
  <c r="T114" i="2" s="1"/>
  <c r="T97" i="2" s="1"/>
  <c r="U101" i="2" l="1"/>
  <c r="U99" i="2" l="1"/>
  <c r="T101" i="2"/>
  <c r="U110" i="2" l="1"/>
  <c r="T110" i="2" l="1"/>
  <c r="U107" i="2"/>
  <c r="U97" i="2" s="1"/>
  <c r="U126" i="2" l="1"/>
  <c r="T126" i="2" l="1"/>
  <c r="T122" i="2" s="1"/>
  <c r="T120" i="2" s="1"/>
  <c r="U122" i="2"/>
  <c r="U120" i="2" s="1"/>
  <c r="U8" i="2" s="1"/>
  <c r="T8" i="2" l="1"/>
  <c r="F5" i="3"/>
  <c r="F17" i="3" l="1"/>
  <c r="F18" i="3" s="1"/>
  <c r="F6" i="3"/>
  <c r="U178" i="2" l="1"/>
  <c r="T178" i="2" s="1"/>
  <c r="G151" i="6" l="1"/>
  <c r="F151" i="6"/>
  <c r="E151" i="6"/>
  <c r="G150" i="6"/>
  <c r="F150" i="6"/>
  <c r="G149" i="6"/>
  <c r="F149" i="6"/>
  <c r="G148" i="6"/>
  <c r="F148" i="6"/>
  <c r="E148" i="6"/>
  <c r="G147" i="6"/>
  <c r="F147" i="6"/>
  <c r="G146" i="6"/>
  <c r="F146" i="6"/>
  <c r="E146" i="6"/>
  <c r="G145" i="6"/>
  <c r="F145" i="6"/>
  <c r="E145" i="6"/>
  <c r="G144" i="6"/>
  <c r="F144" i="6"/>
  <c r="E144" i="6"/>
  <c r="G143" i="6"/>
  <c r="F143" i="6"/>
  <c r="G142" i="6"/>
  <c r="F142" i="6"/>
  <c r="G130" i="6"/>
  <c r="F130" i="6"/>
  <c r="E130" i="6"/>
  <c r="G129" i="6"/>
  <c r="F129" i="6"/>
  <c r="G128" i="6"/>
  <c r="E128" i="6"/>
  <c r="G127" i="6"/>
  <c r="F127" i="6"/>
  <c r="G126" i="6"/>
  <c r="F126" i="6"/>
  <c r="G125" i="6"/>
  <c r="F125" i="6"/>
  <c r="G124" i="6"/>
  <c r="F124" i="6"/>
  <c r="G123" i="6"/>
  <c r="F123" i="6"/>
  <c r="G121" i="6"/>
  <c r="F121" i="6"/>
  <c r="E121" i="6"/>
  <c r="E118" i="6"/>
  <c r="D118" i="6" s="1"/>
  <c r="F87" i="6"/>
  <c r="E80" i="6"/>
  <c r="D130" i="6" l="1"/>
  <c r="D151" i="6"/>
  <c r="G141" i="6"/>
  <c r="G140" i="6" s="1"/>
  <c r="D121" i="6"/>
  <c r="D145" i="6"/>
  <c r="D144" i="6"/>
  <c r="D148" i="6"/>
  <c r="F141" i="6"/>
  <c r="F140" i="6" s="1"/>
  <c r="D146" i="6"/>
  <c r="G122" i="6"/>
  <c r="G120" i="6" s="1"/>
  <c r="F85" i="6"/>
  <c r="F89" i="6"/>
  <c r="D80" i="6"/>
  <c r="D89" i="6" l="1"/>
  <c r="D88" i="6" s="1"/>
  <c r="F88" i="6"/>
  <c r="F61" i="6" l="1"/>
  <c r="F60" i="6" s="1"/>
  <c r="E61" i="6"/>
  <c r="E40" i="6"/>
  <c r="E38" i="6"/>
  <c r="F18" i="6"/>
  <c r="F11" i="6"/>
  <c r="F9" i="6" s="1"/>
  <c r="E66" i="6" l="1"/>
  <c r="D61" i="6"/>
  <c r="D40" i="6"/>
  <c r="D38" i="6"/>
  <c r="E65" i="6" l="1"/>
  <c r="D66" i="6"/>
  <c r="D65" i="6" s="1"/>
  <c r="E87" i="6" l="1"/>
  <c r="E83" i="6"/>
  <c r="D83" i="6" s="1"/>
  <c r="E81" i="6"/>
  <c r="E85" i="6" l="1"/>
  <c r="D87" i="6"/>
  <c r="D85" i="6" s="1"/>
  <c r="D81" i="6"/>
  <c r="E143" i="6" l="1"/>
  <c r="D143" i="6" s="1"/>
  <c r="E135" i="6" l="1"/>
  <c r="D135" i="6" s="1"/>
  <c r="E96" i="6"/>
  <c r="F55" i="6"/>
  <c r="F54" i="6"/>
  <c r="D96" i="6" l="1"/>
  <c r="F53" i="6"/>
  <c r="F52" i="6" s="1"/>
  <c r="F111" i="6" l="1"/>
  <c r="F136" i="6" l="1"/>
  <c r="E132" i="6"/>
  <c r="F133" i="6" l="1"/>
  <c r="F131" i="6" s="1"/>
  <c r="D132" i="6"/>
  <c r="F181" i="6" l="1"/>
  <c r="E176" i="6"/>
  <c r="D176" i="6" s="1"/>
  <c r="F107" i="6"/>
  <c r="F106" i="6" s="1"/>
  <c r="F95" i="6" s="1"/>
  <c r="F180" i="6" l="1"/>
  <c r="E37" i="6" l="1"/>
  <c r="D37" i="6" l="1"/>
  <c r="E139" i="6" l="1"/>
  <c r="D139" i="6" s="1"/>
  <c r="E137" i="6"/>
  <c r="D137" i="6" s="1"/>
  <c r="E136" i="6"/>
  <c r="D136" i="6" s="1"/>
  <c r="E129" i="6"/>
  <c r="D129" i="6" s="1"/>
  <c r="F128" i="6"/>
  <c r="E127" i="6"/>
  <c r="D127" i="6" s="1"/>
  <c r="E126" i="6"/>
  <c r="D126" i="6" s="1"/>
  <c r="E125" i="6"/>
  <c r="D125" i="6" s="1"/>
  <c r="E124" i="6"/>
  <c r="D124" i="6" s="1"/>
  <c r="E123" i="6"/>
  <c r="E92" i="6"/>
  <c r="E82" i="6"/>
  <c r="F79" i="6"/>
  <c r="E75" i="6"/>
  <c r="D75" i="6" s="1"/>
  <c r="E71" i="6"/>
  <c r="E63" i="6"/>
  <c r="D63" i="6" s="1"/>
  <c r="E62" i="6"/>
  <c r="E59" i="6"/>
  <c r="D59" i="6" s="1"/>
  <c r="E57" i="6"/>
  <c r="D57" i="6" s="1"/>
  <c r="E56" i="6"/>
  <c r="D56" i="6" s="1"/>
  <c r="E55" i="6"/>
  <c r="D55" i="6" s="1"/>
  <c r="E54" i="6"/>
  <c r="G50" i="6"/>
  <c r="F50" i="6"/>
  <c r="E50" i="6"/>
  <c r="E49" i="6"/>
  <c r="G49" i="6"/>
  <c r="F49" i="6"/>
  <c r="G47" i="6"/>
  <c r="F47" i="6"/>
  <c r="E47" i="6"/>
  <c r="E44" i="6"/>
  <c r="D44" i="6" s="1"/>
  <c r="F43" i="6"/>
  <c r="D43" i="6" s="1"/>
  <c r="F42" i="6"/>
  <c r="E42" i="6"/>
  <c r="E41" i="6"/>
  <c r="E35" i="6"/>
  <c r="D35" i="6" s="1"/>
  <c r="E34" i="6"/>
  <c r="D34" i="6" s="1"/>
  <c r="E33" i="6"/>
  <c r="E31" i="6"/>
  <c r="D31" i="6" s="1"/>
  <c r="E26" i="6"/>
  <c r="D26" i="6" s="1"/>
  <c r="E25" i="6"/>
  <c r="D25" i="6" s="1"/>
  <c r="E24" i="6"/>
  <c r="E19" i="6"/>
  <c r="D19" i="6" s="1"/>
  <c r="E18" i="6"/>
  <c r="D18" i="6" s="1"/>
  <c r="F17" i="6"/>
  <c r="F14" i="6" s="1"/>
  <c r="F8" i="6" s="1"/>
  <c r="E17" i="6"/>
  <c r="E15" i="6"/>
  <c r="E12" i="6"/>
  <c r="D12" i="6" s="1"/>
  <c r="E11" i="6"/>
  <c r="D11" i="6" s="1"/>
  <c r="E10" i="6"/>
  <c r="G48" i="6" l="1"/>
  <c r="G46" i="6" s="1"/>
  <c r="F122" i="6"/>
  <c r="F120" i="6" s="1"/>
  <c r="D128" i="6"/>
  <c r="E122" i="6"/>
  <c r="E120" i="6" s="1"/>
  <c r="D123" i="6"/>
  <c r="D92" i="6"/>
  <c r="D91" i="6" s="1"/>
  <c r="E91" i="6"/>
  <c r="D82" i="6"/>
  <c r="E77" i="6"/>
  <c r="E76" i="6" s="1"/>
  <c r="F77" i="6"/>
  <c r="F76" i="6" s="1"/>
  <c r="D79" i="6"/>
  <c r="E69" i="6"/>
  <c r="E68" i="6" s="1"/>
  <c r="D71" i="6"/>
  <c r="D69" i="6" s="1"/>
  <c r="D68" i="6" s="1"/>
  <c r="E60" i="6"/>
  <c r="D62" i="6"/>
  <c r="D60" i="6" s="1"/>
  <c r="D54" i="6"/>
  <c r="D53" i="6" s="1"/>
  <c r="E53" i="6"/>
  <c r="D50" i="6"/>
  <c r="F48" i="6"/>
  <c r="F46" i="6" s="1"/>
  <c r="E48" i="6"/>
  <c r="E46" i="6" s="1"/>
  <c r="D49" i="6"/>
  <c r="D47" i="6"/>
  <c r="F39" i="6"/>
  <c r="F36" i="6" s="1"/>
  <c r="D42" i="6"/>
  <c r="D41" i="6"/>
  <c r="E39" i="6"/>
  <c r="E36" i="6" s="1"/>
  <c r="E32" i="6"/>
  <c r="D33" i="6"/>
  <c r="D32" i="6" s="1"/>
  <c r="D24" i="6"/>
  <c r="D23" i="6" s="1"/>
  <c r="E23" i="6"/>
  <c r="D17" i="6"/>
  <c r="D15" i="6"/>
  <c r="E14" i="6"/>
  <c r="D10" i="6"/>
  <c r="D9" i="6" s="1"/>
  <c r="E9" i="6"/>
  <c r="D122" i="6" l="1"/>
  <c r="D120" i="6" s="1"/>
  <c r="D52" i="6"/>
  <c r="D77" i="6"/>
  <c r="D76" i="6" s="1"/>
  <c r="E52" i="6"/>
  <c r="D14" i="6"/>
  <c r="D8" i="6" s="1"/>
  <c r="F6" i="6"/>
  <c r="B9" i="7" s="1"/>
  <c r="B32" i="7" s="1"/>
  <c r="E22" i="6"/>
  <c r="D48" i="6"/>
  <c r="D46" i="6" s="1"/>
  <c r="D22" i="6"/>
  <c r="D39" i="6"/>
  <c r="D36" i="6" s="1"/>
  <c r="E8" i="6"/>
  <c r="B10" i="7" l="1"/>
  <c r="E179" i="6"/>
  <c r="G183" i="6" l="1"/>
  <c r="G180" i="6" s="1"/>
  <c r="E183" i="6"/>
  <c r="E181" i="6"/>
  <c r="G179" i="6"/>
  <c r="E178" i="6"/>
  <c r="D178" i="6" s="1"/>
  <c r="E177" i="6"/>
  <c r="D177" i="6" s="1"/>
  <c r="E175" i="6"/>
  <c r="E173" i="6"/>
  <c r="D173" i="6" s="1"/>
  <c r="E172" i="6"/>
  <c r="D172" i="6" s="1"/>
  <c r="E171" i="6"/>
  <c r="D171" i="6" s="1"/>
  <c r="E170" i="6"/>
  <c r="D170" i="6" s="1"/>
  <c r="E169" i="6"/>
  <c r="E167" i="6"/>
  <c r="D167" i="6" s="1"/>
  <c r="E166" i="6"/>
  <c r="D166" i="6" s="1"/>
  <c r="E164" i="6"/>
  <c r="E161" i="6"/>
  <c r="D161" i="6" s="1"/>
  <c r="E159" i="6"/>
  <c r="D159" i="6" s="1"/>
  <c r="E158" i="6"/>
  <c r="E156" i="6"/>
  <c r="D156" i="6" s="1"/>
  <c r="E154" i="6"/>
  <c r="E150" i="6"/>
  <c r="D150" i="6" s="1"/>
  <c r="E149" i="6"/>
  <c r="D149" i="6" s="1"/>
  <c r="E147" i="6"/>
  <c r="D147" i="6" s="1"/>
  <c r="E142" i="6"/>
  <c r="E134" i="6"/>
  <c r="E116" i="6"/>
  <c r="D116" i="6" s="1"/>
  <c r="E112" i="6"/>
  <c r="D112" i="6" s="1"/>
  <c r="E111" i="6"/>
  <c r="D111" i="6" s="1"/>
  <c r="E110" i="6"/>
  <c r="D110" i="6" s="1"/>
  <c r="E109" i="6"/>
  <c r="D109" i="6" s="1"/>
  <c r="E108" i="6"/>
  <c r="E107" i="6"/>
  <c r="D107" i="6" s="1"/>
  <c r="E133" i="6" l="1"/>
  <c r="E131" i="6" s="1"/>
  <c r="D134" i="6"/>
  <c r="D133" i="6" s="1"/>
  <c r="D131" i="6" s="1"/>
  <c r="D108" i="6"/>
  <c r="D106" i="6" s="1"/>
  <c r="D95" i="6" s="1"/>
  <c r="E106" i="6"/>
  <c r="E95" i="6" s="1"/>
  <c r="D183" i="6"/>
  <c r="E180" i="6"/>
  <c r="D181" i="6"/>
  <c r="G6" i="6"/>
  <c r="B13" i="7" s="1"/>
  <c r="D179" i="6"/>
  <c r="E174" i="6"/>
  <c r="D175" i="6"/>
  <c r="D174" i="6" s="1"/>
  <c r="E168" i="6"/>
  <c r="D169" i="6"/>
  <c r="D168" i="6" s="1"/>
  <c r="D164" i="6"/>
  <c r="D163" i="6" s="1"/>
  <c r="E163" i="6"/>
  <c r="D158" i="6"/>
  <c r="D157" i="6" s="1"/>
  <c r="E157" i="6"/>
  <c r="D154" i="6"/>
  <c r="D153" i="6" s="1"/>
  <c r="E153" i="6"/>
  <c r="E141" i="6"/>
  <c r="E140" i="6" s="1"/>
  <c r="D142" i="6"/>
  <c r="D141" i="6" s="1"/>
  <c r="D140" i="6" s="1"/>
  <c r="D180" i="6" l="1"/>
  <c r="B33" i="7"/>
  <c r="B14" i="7"/>
  <c r="D152" i="6"/>
  <c r="E152" i="6"/>
  <c r="D6" i="6" l="1"/>
  <c r="E6" i="6"/>
  <c r="B5" i="7" l="1"/>
  <c r="B17" i="7" l="1"/>
  <c r="B31" i="7"/>
  <c r="B6" i="7"/>
  <c r="B22" i="7"/>
  <c r="B37" i="7" l="1"/>
  <c r="B18" i="7"/>
  <c r="B23" i="7"/>
  <c r="B38" i="7" l="1"/>
  <c r="I34" i="6"/>
  <c r="I17" i="6"/>
  <c r="H34" i="6" l="1"/>
  <c r="H32" i="6" s="1"/>
  <c r="I32" i="6"/>
  <c r="J135" i="6" l="1"/>
  <c r="J104" i="6" l="1"/>
  <c r="J98" i="6"/>
  <c r="I20" i="6" l="1"/>
  <c r="H20" i="6" s="1"/>
  <c r="J43" i="6" l="1"/>
  <c r="J39" i="6" l="1"/>
  <c r="J36" i="6" s="1"/>
  <c r="I118" i="6" l="1"/>
  <c r="H118" i="6" s="1"/>
  <c r="I90" i="6" l="1"/>
  <c r="H90" i="6" s="1"/>
  <c r="I80" i="6"/>
  <c r="H80" i="6" l="1"/>
  <c r="I31" i="6" l="1"/>
  <c r="H31" i="6" s="1"/>
  <c r="J17" i="6"/>
  <c r="I16" i="6"/>
  <c r="J14" i="6" l="1"/>
  <c r="H17" i="6"/>
  <c r="H16" i="6"/>
  <c r="J183" i="6" l="1"/>
  <c r="I87" i="6"/>
  <c r="I85" i="6" l="1"/>
  <c r="I151" i="6" l="1"/>
  <c r="J151" i="6"/>
  <c r="K151" i="6"/>
  <c r="J150" i="6"/>
  <c r="K150" i="6"/>
  <c r="J149" i="6"/>
  <c r="K149" i="6"/>
  <c r="J148" i="6"/>
  <c r="K148" i="6"/>
  <c r="J147" i="6"/>
  <c r="K147" i="6"/>
  <c r="I146" i="6"/>
  <c r="J146" i="6"/>
  <c r="K146" i="6"/>
  <c r="J145" i="6"/>
  <c r="K145" i="6"/>
  <c r="J144" i="6"/>
  <c r="K144" i="6"/>
  <c r="I143" i="6"/>
  <c r="J143" i="6"/>
  <c r="K143" i="6"/>
  <c r="J142" i="6"/>
  <c r="K142" i="6"/>
  <c r="H143" i="6" l="1"/>
  <c r="J141" i="6"/>
  <c r="J140" i="6" s="1"/>
  <c r="H151" i="6"/>
  <c r="H146" i="6"/>
  <c r="K141" i="6"/>
  <c r="K140" i="6" s="1"/>
  <c r="R59" i="13" l="1"/>
  <c r="P61" i="13" s="1"/>
  <c r="O58" i="13"/>
  <c r="K137" i="6" l="1"/>
  <c r="I43" i="6"/>
  <c r="H43" i="6" s="1"/>
  <c r="I15" i="6"/>
  <c r="K133" i="6" l="1"/>
  <c r="K131" i="6" s="1"/>
  <c r="H15" i="6"/>
  <c r="H14" i="6" s="1"/>
  <c r="I14" i="6"/>
  <c r="I130" i="6" l="1"/>
  <c r="H130" i="6" s="1"/>
  <c r="J102" i="6"/>
  <c r="I92" i="6"/>
  <c r="I66" i="6"/>
  <c r="I35" i="6"/>
  <c r="H35" i="6" s="1"/>
  <c r="I26" i="6"/>
  <c r="I18" i="6"/>
  <c r="J18" i="6"/>
  <c r="I12" i="6"/>
  <c r="H12" i="6" s="1"/>
  <c r="I11" i="6"/>
  <c r="J11" i="6"/>
  <c r="J9" i="6" s="1"/>
  <c r="I10" i="6"/>
  <c r="I91" i="6" l="1"/>
  <c r="H92" i="6"/>
  <c r="H91" i="6" s="1"/>
  <c r="H66" i="6"/>
  <c r="H65" i="6" s="1"/>
  <c r="I65" i="6"/>
  <c r="I23" i="6"/>
  <c r="I22" i="6" s="1"/>
  <c r="H26" i="6"/>
  <c r="H23" i="6" s="1"/>
  <c r="H22" i="6" s="1"/>
  <c r="J8" i="6"/>
  <c r="H18" i="6"/>
  <c r="H11" i="6"/>
  <c r="I9" i="6"/>
  <c r="I8" i="6" s="1"/>
  <c r="H10" i="6"/>
  <c r="J97" i="6"/>
  <c r="H9" i="6" l="1"/>
  <c r="H8" i="6" s="1"/>
  <c r="I178" i="6" l="1"/>
  <c r="H178" i="6" s="1"/>
  <c r="I177" i="6"/>
  <c r="H177" i="6" s="1"/>
  <c r="I176" i="6"/>
  <c r="H176" i="6" s="1"/>
  <c r="I154" i="6"/>
  <c r="I145" i="6"/>
  <c r="H145" i="6" s="1"/>
  <c r="J109" i="6"/>
  <c r="H154" i="6" l="1"/>
  <c r="I121" i="6" l="1"/>
  <c r="J107" i="6"/>
  <c r="J89" i="6"/>
  <c r="J88" i="6" s="1"/>
  <c r="I75" i="6"/>
  <c r="H75" i="6" s="1"/>
  <c r="I71" i="6"/>
  <c r="I63" i="6"/>
  <c r="H63" i="6" s="1"/>
  <c r="I62" i="6"/>
  <c r="I59" i="6"/>
  <c r="H59" i="6" s="1"/>
  <c r="I57" i="6"/>
  <c r="H57" i="6" s="1"/>
  <c r="I56" i="6"/>
  <c r="H56" i="6" s="1"/>
  <c r="I55" i="6"/>
  <c r="J55" i="6"/>
  <c r="I54" i="6"/>
  <c r="J54" i="6"/>
  <c r="I49" i="6"/>
  <c r="I48" i="6" s="1"/>
  <c r="J49" i="6"/>
  <c r="I47" i="6"/>
  <c r="I44" i="6"/>
  <c r="H44" i="6" s="1"/>
  <c r="I42" i="6"/>
  <c r="H42" i="6" s="1"/>
  <c r="I41" i="6"/>
  <c r="H41" i="6" s="1"/>
  <c r="I40" i="6"/>
  <c r="I38" i="6"/>
  <c r="H38" i="6" s="1"/>
  <c r="I37" i="6"/>
  <c r="H121" i="6" l="1"/>
  <c r="J106" i="6"/>
  <c r="J95" i="6" s="1"/>
  <c r="I69" i="6"/>
  <c r="I68" i="6" s="1"/>
  <c r="H71" i="6"/>
  <c r="H69" i="6" s="1"/>
  <c r="H68" i="6" s="1"/>
  <c r="H62" i="6"/>
  <c r="H60" i="6" s="1"/>
  <c r="I60" i="6"/>
  <c r="H55" i="6"/>
  <c r="J53" i="6"/>
  <c r="J52" i="6" s="1"/>
  <c r="H54" i="6"/>
  <c r="I53" i="6"/>
  <c r="J48" i="6"/>
  <c r="J46" i="6" s="1"/>
  <c r="H49" i="6"/>
  <c r="H48" i="6" s="1"/>
  <c r="I46" i="6"/>
  <c r="H47" i="6"/>
  <c r="H40" i="6"/>
  <c r="H39" i="6" s="1"/>
  <c r="I39" i="6"/>
  <c r="I36" i="6" s="1"/>
  <c r="H37" i="6"/>
  <c r="I52" i="6" l="1"/>
  <c r="H53" i="6"/>
  <c r="H52" i="6" s="1"/>
  <c r="H46" i="6"/>
  <c r="H36" i="6"/>
  <c r="I183" i="6" l="1"/>
  <c r="K183" i="6"/>
  <c r="K180" i="6" s="1"/>
  <c r="I181" i="6"/>
  <c r="J181" i="6"/>
  <c r="I179" i="6"/>
  <c r="K179" i="6"/>
  <c r="I175" i="6"/>
  <c r="I172" i="6"/>
  <c r="H172" i="6" s="1"/>
  <c r="I171" i="6"/>
  <c r="H171" i="6" s="1"/>
  <c r="I170" i="6"/>
  <c r="H170" i="6" s="1"/>
  <c r="I169" i="6"/>
  <c r="I167" i="6"/>
  <c r="H167" i="6" s="1"/>
  <c r="I166" i="6"/>
  <c r="H166" i="6" s="1"/>
  <c r="I164" i="6"/>
  <c r="I161" i="6"/>
  <c r="H161" i="6" s="1"/>
  <c r="I159" i="6"/>
  <c r="H159" i="6" s="1"/>
  <c r="I158" i="6"/>
  <c r="I156" i="6"/>
  <c r="I150" i="6"/>
  <c r="H150" i="6" s="1"/>
  <c r="I149" i="6"/>
  <c r="H149" i="6" s="1"/>
  <c r="I148" i="6"/>
  <c r="H148" i="6" s="1"/>
  <c r="I147" i="6"/>
  <c r="H147" i="6" s="1"/>
  <c r="I144" i="6"/>
  <c r="H144" i="6" s="1"/>
  <c r="I142" i="6"/>
  <c r="I137" i="6"/>
  <c r="H137" i="6" s="1"/>
  <c r="I136" i="6"/>
  <c r="J136" i="6"/>
  <c r="I135" i="6"/>
  <c r="H135" i="6" s="1"/>
  <c r="I134" i="6"/>
  <c r="I132" i="6"/>
  <c r="I129" i="6"/>
  <c r="H129" i="6" s="1"/>
  <c r="I128" i="6"/>
  <c r="H128" i="6" s="1"/>
  <c r="I127" i="6"/>
  <c r="H127" i="6" s="1"/>
  <c r="I126" i="6"/>
  <c r="H126" i="6" s="1"/>
  <c r="I125" i="6"/>
  <c r="H125" i="6" s="1"/>
  <c r="I124" i="6"/>
  <c r="H124" i="6" s="1"/>
  <c r="I123" i="6"/>
  <c r="I116" i="6"/>
  <c r="H116" i="6" s="1"/>
  <c r="I112" i="6"/>
  <c r="H112" i="6" s="1"/>
  <c r="I111" i="6"/>
  <c r="H111" i="6" s="1"/>
  <c r="I110" i="6"/>
  <c r="I109" i="6"/>
  <c r="H109" i="6" s="1"/>
  <c r="I108" i="6"/>
  <c r="H108" i="6" s="1"/>
  <c r="I107" i="6"/>
  <c r="H107" i="6" s="1"/>
  <c r="I104" i="6"/>
  <c r="H104" i="6" s="1"/>
  <c r="I103" i="6"/>
  <c r="H103" i="6" s="1"/>
  <c r="I102" i="6"/>
  <c r="H102" i="6" s="1"/>
  <c r="I100" i="6"/>
  <c r="H100" i="6" s="1"/>
  <c r="I99" i="6"/>
  <c r="H99" i="6" s="1"/>
  <c r="I98" i="6"/>
  <c r="I96" i="6"/>
  <c r="I89" i="6"/>
  <c r="J87" i="6"/>
  <c r="I82" i="6"/>
  <c r="H82" i="6" s="1"/>
  <c r="I81" i="6"/>
  <c r="J79" i="6"/>
  <c r="K6" i="6" l="1"/>
  <c r="C13" i="7" s="1"/>
  <c r="H98" i="6"/>
  <c r="H97" i="6" s="1"/>
  <c r="I97" i="6"/>
  <c r="I106" i="6"/>
  <c r="H110" i="6"/>
  <c r="H106" i="6" s="1"/>
  <c r="H183" i="6"/>
  <c r="I180" i="6"/>
  <c r="J180" i="6"/>
  <c r="H181" i="6"/>
  <c r="H179" i="6"/>
  <c r="I174" i="6"/>
  <c r="H175" i="6"/>
  <c r="H174" i="6" s="1"/>
  <c r="H169" i="6"/>
  <c r="H168" i="6" s="1"/>
  <c r="I168" i="6"/>
  <c r="H164" i="6"/>
  <c r="H163" i="6" s="1"/>
  <c r="I163" i="6"/>
  <c r="I157" i="6"/>
  <c r="H158" i="6"/>
  <c r="H157" i="6" s="1"/>
  <c r="H156" i="6"/>
  <c r="H153" i="6" s="1"/>
  <c r="I153" i="6"/>
  <c r="I141" i="6"/>
  <c r="I140" i="6" s="1"/>
  <c r="H142" i="6"/>
  <c r="H141" i="6" s="1"/>
  <c r="H140" i="6" s="1"/>
  <c r="H136" i="6"/>
  <c r="J133" i="6"/>
  <c r="J131" i="6" s="1"/>
  <c r="I133" i="6"/>
  <c r="I131" i="6" s="1"/>
  <c r="H134" i="6"/>
  <c r="H132" i="6"/>
  <c r="I122" i="6"/>
  <c r="I120" i="6" s="1"/>
  <c r="H123" i="6"/>
  <c r="H122" i="6" s="1"/>
  <c r="H120" i="6" s="1"/>
  <c r="H96" i="6"/>
  <c r="H89" i="6"/>
  <c r="H88" i="6" s="1"/>
  <c r="I88" i="6"/>
  <c r="H87" i="6"/>
  <c r="H85" i="6" s="1"/>
  <c r="J85" i="6"/>
  <c r="H81" i="6"/>
  <c r="I77" i="6"/>
  <c r="H79" i="6"/>
  <c r="J77" i="6"/>
  <c r="C33" i="7" l="1"/>
  <c r="C14" i="7"/>
  <c r="I95" i="6"/>
  <c r="H95" i="6"/>
  <c r="H180" i="6"/>
  <c r="J76" i="6"/>
  <c r="J6" i="6" s="1"/>
  <c r="C9" i="7" s="1"/>
  <c r="H77" i="6"/>
  <c r="H76" i="6" s="1"/>
  <c r="I76" i="6"/>
  <c r="I152" i="6"/>
  <c r="H152" i="6"/>
  <c r="H133" i="6"/>
  <c r="H131" i="6" s="1"/>
  <c r="C10" i="7" l="1"/>
  <c r="C32" i="7"/>
  <c r="I6" i="6"/>
  <c r="H6" i="6"/>
  <c r="C5" i="7" l="1"/>
  <c r="C31" i="7" s="1"/>
  <c r="C37" i="7" l="1"/>
  <c r="C38" i="7" s="1"/>
  <c r="C17" i="7"/>
  <c r="C22" i="7"/>
  <c r="C23" i="7" s="1"/>
  <c r="C6" i="7"/>
  <c r="C18" i="7" l="1"/>
  <c r="AD166" i="6" l="1"/>
  <c r="AD163" i="6" s="1"/>
  <c r="AD152" i="6" s="1"/>
  <c r="Y166" i="6"/>
  <c r="Z166" i="6"/>
  <c r="Z163" i="6" s="1"/>
  <c r="Z152" i="6" s="1"/>
  <c r="X166" i="6" l="1"/>
  <c r="X163" i="6" s="1"/>
  <c r="X152" i="6" s="1"/>
  <c r="Y163" i="6"/>
  <c r="Y152" i="6" s="1"/>
  <c r="AC166" i="6"/>
  <c r="AC163" i="6" l="1"/>
  <c r="AC152" i="6" s="1"/>
  <c r="AB166" i="6"/>
  <c r="AB163" i="6" s="1"/>
  <c r="AB152" i="6" s="1"/>
  <c r="AD17" i="6" l="1"/>
  <c r="AD14" i="6" l="1"/>
  <c r="AD8" i="6" s="1"/>
  <c r="AB17" i="6"/>
  <c r="AB14" i="6" s="1"/>
  <c r="AB8" i="6" s="1"/>
  <c r="AC63" i="6"/>
  <c r="AC60" i="6" l="1"/>
  <c r="AC52" i="6" s="1"/>
  <c r="AB63" i="6"/>
  <c r="AB60" i="6" s="1"/>
  <c r="AB52" i="6" s="1"/>
  <c r="Z118" i="6" l="1"/>
  <c r="Y99" i="6"/>
  <c r="X99" i="6" l="1"/>
  <c r="X97" i="6" s="1"/>
  <c r="Y97" i="6"/>
  <c r="Y95" i="6" s="1"/>
  <c r="X118" i="6"/>
  <c r="Z95" i="6"/>
  <c r="AD118" i="6"/>
  <c r="AC99" i="6"/>
  <c r="AB99" i="6" l="1"/>
  <c r="AB97" i="6" s="1"/>
  <c r="AC97" i="6"/>
  <c r="AC95" i="6" s="1"/>
  <c r="X95" i="6"/>
  <c r="AB118" i="6"/>
  <c r="AD95" i="6"/>
  <c r="AB95" i="6" l="1"/>
  <c r="Y183" i="6"/>
  <c r="AC183" i="6"/>
  <c r="Y136" i="6"/>
  <c r="Z43" i="6"/>
  <c r="AD43" i="6"/>
  <c r="AB183" i="6" l="1"/>
  <c r="AB180" i="6" s="1"/>
  <c r="AC180" i="6"/>
  <c r="Y180" i="6"/>
  <c r="X183" i="6"/>
  <c r="X180" i="6" s="1"/>
  <c r="AD39" i="6"/>
  <c r="AD36" i="6" s="1"/>
  <c r="AB43" i="6"/>
  <c r="AB39" i="6" s="1"/>
  <c r="AB36" i="6" s="1"/>
  <c r="X43" i="6"/>
  <c r="X39" i="6" s="1"/>
  <c r="X36" i="6" s="1"/>
  <c r="Z39" i="6"/>
  <c r="Z36" i="6" s="1"/>
  <c r="X136" i="6"/>
  <c r="X133" i="6" s="1"/>
  <c r="X131" i="6" s="1"/>
  <c r="Y133" i="6"/>
  <c r="Y131" i="6" s="1"/>
  <c r="Y6" i="6" s="1"/>
  <c r="G5" i="7" s="1"/>
  <c r="AC136" i="6"/>
  <c r="AB136" i="6" l="1"/>
  <c r="AB133" i="6" s="1"/>
  <c r="AB131" i="6" s="1"/>
  <c r="AC133" i="6"/>
  <c r="AC131" i="6" s="1"/>
  <c r="AC6" i="6" s="1"/>
  <c r="G6" i="7"/>
  <c r="G31" i="7"/>
  <c r="C50" i="15" l="1"/>
  <c r="H5" i="7"/>
  <c r="H6" i="7" l="1"/>
  <c r="P62" i="13"/>
  <c r="C5" i="15"/>
  <c r="C47" i="15" s="1"/>
  <c r="H31" i="7"/>
  <c r="H5" i="15" l="1"/>
  <c r="H47" i="15" s="1"/>
  <c r="D48" i="15" s="1"/>
  <c r="Z150" i="6" l="1"/>
  <c r="AD150" i="6"/>
  <c r="AD87" i="6"/>
  <c r="Z87" i="6"/>
  <c r="AB150" i="6" l="1"/>
  <c r="AB140" i="6" s="1"/>
  <c r="AD140" i="6"/>
  <c r="X150" i="6"/>
  <c r="X140" i="6" s="1"/>
  <c r="Z140" i="6"/>
  <c r="AB87" i="6"/>
  <c r="AB85" i="6" s="1"/>
  <c r="AB76" i="6" s="1"/>
  <c r="AD85" i="6"/>
  <c r="AD76" i="6" s="1"/>
  <c r="Z85" i="6"/>
  <c r="Z76" i="6" s="1"/>
  <c r="Z6" i="6" s="1"/>
  <c r="G9" i="7" s="1"/>
  <c r="X87" i="6"/>
  <c r="X85" i="6" s="1"/>
  <c r="X76" i="6" s="1"/>
  <c r="AD6" i="6" l="1"/>
  <c r="X6" i="6"/>
  <c r="AB6" i="6"/>
  <c r="G22" i="7"/>
  <c r="G23" i="7" s="1"/>
  <c r="G17" i="7"/>
  <c r="G18" i="7" s="1"/>
  <c r="G10" i="7"/>
  <c r="G32" i="7"/>
  <c r="G37" i="7" s="1"/>
  <c r="G38" i="7" s="1"/>
  <c r="H9" i="7"/>
  <c r="C51" i="15"/>
  <c r="H10" i="7" l="1"/>
  <c r="Q62" i="13"/>
  <c r="H32" i="7"/>
  <c r="H37" i="7" s="1"/>
  <c r="H38" i="7" s="1"/>
  <c r="H17" i="7"/>
  <c r="H22" i="7"/>
  <c r="H23" i="7" s="1"/>
  <c r="H18" i="7" l="1"/>
  <c r="C49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Jana Kovacikova</author>
  </authors>
  <commentList>
    <comment ref="D6" authorId="0" shapeId="0" xr:uid="{4344B9C8-8D50-461B-A6A6-4C3EF820CC38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prognóza MFSR          8 744 121 EUR </t>
        </r>
      </text>
    </comment>
    <comment ref="D31" authorId="0" shapeId="0" xr:uid="{549A5F5F-1288-4231-9661-4B62150808C7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10 000 EUR DK</t>
        </r>
      </text>
    </comment>
    <comment ref="D46" authorId="0" shapeId="0" xr:uid="{CAF3F456-FD57-48CB-BE91-72E5914DB3BE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z toho 10 000 EUR ples</t>
        </r>
      </text>
    </comment>
    <comment ref="D52" authorId="0" shapeId="0" xr:uid="{D20516E6-3EC4-443E-81F7-6449E36F8FF6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36 570 EUR rezerva</t>
        </r>
      </text>
    </comment>
    <comment ref="G52" authorId="0" shapeId="0" xr:uid="{882E59A7-A428-4F9A-8F2F-0911F4A12404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ZŠ Hollého dobropisy</t>
        </r>
      </text>
    </comment>
    <comment ref="D53" authorId="0" shapeId="0" xr:uid="{C83702B2-8E85-4C8C-AEDB-72B4F358D8CC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25 684 EUR rezerva</t>
        </r>
      </text>
    </comment>
    <comment ref="D67" authorId="0" shapeId="0" xr:uid="{2564061E-5DD7-486D-AD6E-D5FE2510742B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dar Terra Wag</t>
        </r>
      </text>
    </comment>
    <comment ref="D90" authorId="0" shapeId="0" xr:uid="{C8C607E1-D6BB-457F-8F87-EE5098CC179C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Cestovné 52 072 EUR
Vzdelávacie poukazy 43 096 EUR
Stravné 774 240 EUR
Odchodné  21 186 EUR
Školské potreby 1 270 EUR 
Škola v prírode 27 200 EUR
Lyžiarsky výcvik 35 700 EUR
Učebnice 58 259 EUR
Sociálne znevýhodnení 2 025 EUR
Nepedagogický zamestnanec – pomoc. vychov. 104 412 EUR
Školský podporný tím 125 447 EUR
Pedagogický asistent 632 803 EUR
Špecifiká 319 272 EUR
Výchovno – vzdelávací proces 36 300 EUR
Rezerva na osobitné dotácie 166 718 EUR (v tom 
rezerva osobit. dot. - 140 958 EUR
rezerva strava - 25 760 EUR
 </t>
        </r>
      </text>
    </comment>
    <comment ref="G90" authorId="0" shapeId="0" xr:uid="{E6F88749-B165-40BD-8670-7EDD68E81164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Cestovné +3 625 EUR
Vzdelávacie poukazy +3 000 EUR
</t>
        </r>
        <r>
          <rPr>
            <b/>
            <sz val="9"/>
            <color indexed="81"/>
            <rFont val="Segoe UI"/>
            <family val="2"/>
            <charset val="238"/>
          </rPr>
          <t>Stravné 0 EUR +10 000 EUR dotácia strava ZŠ Hornskéh</t>
        </r>
        <r>
          <rPr>
            <sz val="9"/>
            <color indexed="81"/>
            <rFont val="Segoe UI"/>
            <family val="2"/>
            <charset val="238"/>
          </rPr>
          <t xml:space="preserve">o
Odchodné  +2 600 EUR
Školské potreby 0 EUR 
Škola v prírode 0EUR
Lyžiarsky výcvik -10 050 EUR
Učebnice +8 800 EUR
Sociálne znevýhodnení 0 EUR
Nepedagogický zamestnanec – pomoc. vychov. 0 EUR
</t>
        </r>
        <r>
          <rPr>
            <b/>
            <sz val="9"/>
            <color indexed="81"/>
            <rFont val="Segoe UI"/>
            <family val="2"/>
            <charset val="238"/>
          </rPr>
          <t>profes. rozvoj + 1 081 EUR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  <r>
          <rPr>
            <b/>
            <sz val="9"/>
            <color indexed="81"/>
            <rFont val="Segoe UI"/>
            <family val="2"/>
            <charset val="238"/>
          </rPr>
          <t>Školský podporný tím 0 EUR +59 035 EUR dotácia ŠPT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  <r>
          <rPr>
            <b/>
            <sz val="9"/>
            <color indexed="81"/>
            <rFont val="Segoe UI"/>
            <family val="2"/>
            <charset val="238"/>
          </rPr>
          <t>Pedagogický asistent 0 EUR -15 553 EUR dotácia pedagog. asis.</t>
        </r>
        <r>
          <rPr>
            <sz val="9"/>
            <color indexed="81"/>
            <rFont val="Segoe UI"/>
            <family val="2"/>
            <charset val="238"/>
          </rPr>
          <t xml:space="preserve">
Špecifiká -319 272 EUR
Výchovno – vzdelávací proces 0 EUR
Rezerva na osobitné dotácie +111 297 EUR (v tom 
</t>
        </r>
        <r>
          <rPr>
            <b/>
            <sz val="9"/>
            <color indexed="81"/>
            <rFont val="Segoe UI"/>
            <family val="2"/>
            <charset val="238"/>
          </rPr>
          <t>rezerva osobit. dot</t>
        </r>
        <r>
          <rPr>
            <sz val="9"/>
            <color indexed="81"/>
            <rFont val="Segoe UI"/>
            <family val="2"/>
            <charset val="238"/>
          </rPr>
          <t xml:space="preserve">. -+111 297 EUR </t>
        </r>
        <r>
          <rPr>
            <b/>
            <sz val="9"/>
            <color indexed="81"/>
            <rFont val="Segoe UI"/>
            <family val="2"/>
            <charset val="238"/>
          </rPr>
          <t>- 43 482 EUR rezarva na ŠPT a asistent - 1081 EUR profes. rozvoj</t>
        </r>
        <r>
          <rPr>
            <sz val="9"/>
            <color indexed="81"/>
            <rFont val="Segoe UI"/>
            <family val="2"/>
            <charset val="238"/>
          </rPr>
          <t xml:space="preserve">
rezerva strava - 0 EUR
</t>
        </r>
      </text>
    </comment>
    <comment ref="H90" authorId="0" shapeId="0" xr:uid="{2EED997E-943D-4EEE-A18F-99F485AE526B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Cestovné 55 697 EUR
Vzdelávacie poukazy 46 096 EUR
Stravné 774 240 EUR+ </t>
        </r>
        <r>
          <rPr>
            <b/>
            <sz val="9"/>
            <color indexed="81"/>
            <rFont val="Segoe UI"/>
            <family val="2"/>
            <charset val="238"/>
          </rPr>
          <t>10 000 EUR</t>
        </r>
        <r>
          <rPr>
            <sz val="9"/>
            <color indexed="81"/>
            <rFont val="Segoe UI"/>
            <family val="2"/>
            <charset val="238"/>
          </rPr>
          <t xml:space="preserve"> (ZŠ Hronského) = </t>
        </r>
        <r>
          <rPr>
            <b/>
            <sz val="9"/>
            <color indexed="81"/>
            <rFont val="Segoe UI"/>
            <family val="2"/>
            <charset val="238"/>
          </rPr>
          <t>784 240 EUR</t>
        </r>
        <r>
          <rPr>
            <sz val="9"/>
            <color indexed="81"/>
            <rFont val="Segoe UI"/>
            <family val="2"/>
            <charset val="238"/>
          </rPr>
          <t xml:space="preserve">
Odchodné 23 786 EUR
Školské potreby 1 270 EUR 
Škola v prírode 27 200 EUR
Lyžiarsky výcvik 25 650 EUR
Učebnice 67 059 EUR
Sociálne znevýhodnení 2 025 EUR
Nepedagogický zamestnanec – pomoc. vychov. 104 412 EUR
</t>
        </r>
        <r>
          <rPr>
            <b/>
            <sz val="9"/>
            <color indexed="81"/>
            <rFont val="Segoe UI"/>
            <family val="2"/>
            <charset val="238"/>
          </rPr>
          <t>Profes. rozvoj 1 081 EUR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  <r>
          <rPr>
            <b/>
            <sz val="9"/>
            <color indexed="81"/>
            <rFont val="Segoe UI"/>
            <family val="2"/>
            <charset val="238"/>
          </rPr>
          <t>Školský podporný tím</t>
        </r>
        <r>
          <rPr>
            <sz val="9"/>
            <color indexed="81"/>
            <rFont val="Segoe UI"/>
            <family val="2"/>
            <charset val="238"/>
          </rPr>
          <t xml:space="preserve"> 125 447 EUR </t>
        </r>
        <r>
          <rPr>
            <b/>
            <sz val="9"/>
            <color indexed="81"/>
            <rFont val="Segoe UI"/>
            <family val="2"/>
            <charset val="238"/>
          </rPr>
          <t>+ 59 035 EUR = 184 482 EUR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  <r>
          <rPr>
            <b/>
            <sz val="9"/>
            <color indexed="81"/>
            <rFont val="Segoe UI"/>
            <family val="2"/>
            <charset val="238"/>
          </rPr>
          <t xml:space="preserve">Pedagogický asistent </t>
        </r>
        <r>
          <rPr>
            <sz val="9"/>
            <color indexed="81"/>
            <rFont val="Segoe UI"/>
            <family val="2"/>
            <charset val="238"/>
          </rPr>
          <t xml:space="preserve">632 803 EUR </t>
        </r>
        <r>
          <rPr>
            <b/>
            <sz val="9"/>
            <color indexed="81"/>
            <rFont val="Segoe UI"/>
            <family val="2"/>
            <charset val="238"/>
          </rPr>
          <t>-15 553 EUR = 617 250 EUR</t>
        </r>
        <r>
          <rPr>
            <sz val="9"/>
            <color indexed="81"/>
            <rFont val="Segoe UI"/>
            <family val="2"/>
            <charset val="238"/>
          </rPr>
          <t xml:space="preserve">
Špecifiká 0 EUR
Výchovno – vzdelávací proces 36 300 EUR
Rezerva na osobitné dotácie 278 015 EUR (v tom 
</t>
        </r>
        <r>
          <rPr>
            <b/>
            <sz val="9"/>
            <color indexed="81"/>
            <rFont val="Segoe UI"/>
            <family val="2"/>
            <charset val="238"/>
          </rPr>
          <t>rezerva osobit. dot</t>
        </r>
        <r>
          <rPr>
            <sz val="9"/>
            <color indexed="81"/>
            <rFont val="Segoe UI"/>
            <family val="2"/>
            <charset val="238"/>
          </rPr>
          <t>. - 252 255 EUR</t>
        </r>
        <r>
          <rPr>
            <b/>
            <sz val="9"/>
            <color indexed="81"/>
            <rFont val="Segoe UI"/>
            <family val="2"/>
            <charset val="238"/>
          </rPr>
          <t xml:space="preserve"> -59035+15553 - 1081 =207 692 EUR</t>
        </r>
        <r>
          <rPr>
            <sz val="9"/>
            <color indexed="81"/>
            <rFont val="Segoe UI"/>
            <family val="2"/>
            <charset val="238"/>
          </rPr>
          <t xml:space="preserve">
rezerva strava - 25 760 EUR</t>
        </r>
      </text>
    </comment>
    <comment ref="D91" authorId="0" shapeId="0" xr:uid="{EFD4C36F-E6F5-40DE-B7C2-6CC62142EA43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27500 EUR rezerva</t>
        </r>
      </text>
    </comment>
    <comment ref="G91" authorId="0" shapeId="0" xr:uid="{C28CE928-2FEA-4F3F-89AC-DFB9E60C3DFB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ZŠ Krátka POP 15 000
MŠ 8. mája 150  Pontis
Šafárika 180 Nivam</t>
        </r>
      </text>
    </comment>
    <comment ref="G98" authorId="0" shapeId="0" xr:uid="{ED17682C-79E0-465F-81D3-4A28C6C191CE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80 starostlivosť o vojnové hroby</t>
        </r>
      </text>
    </comment>
    <comment ref="G99" authorId="0" shapeId="0" xr:uid="{0CF671A2-86B3-4B9F-9450-F2B71CF0CBA7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9 998 PC
13 661 MŠ Družstevná</t>
        </r>
      </text>
    </comment>
    <comment ref="G120" authorId="0" shapeId="0" xr:uid="{BA8C1B97-A25E-4FE3-ADE3-AFC48C8545EE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kotol DD</t>
        </r>
      </text>
    </comment>
    <comment ref="D135" authorId="0" shapeId="0" xr:uid="{BA61756D-FB6E-4075-B3F8-A485C187AE1B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náhradná výsadba z výrubov od SSC</t>
        </r>
      </text>
    </comment>
    <comment ref="H135" authorId="0" shapeId="0" xr:uid="{6F597DEF-D772-4201-8B59-BA443B134607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48 920 EUR DD strava
1 603 EUR audioviz. Fond
9 064 EUR audioviz. Fond
9 750 EUR MFSR
47 000 EUR výruby
107 266 EUR PK
4 375 EUR cestovné
46 870 EUR jedálne školy
13 012 EUR Enviro MŠ 8. mája
9 895 EUR ZŠ Hollého
92 000 EUR KV ZŠ Murgaša
81 560 EUR stravné</t>
        </r>
      </text>
    </comment>
    <comment ref="D140" authorId="0" shapeId="0" xr:uid="{9D5370F9-4E22-4A88-8702-3DA585C4EFC6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200 000 EUR úver na 5 rok použitý bude na spolufinancovanie výstavby Zariadenia podporného bývania
2 400 000 EUR úver na rekonštrukciu chodníkov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kovacikova</author>
  </authors>
  <commentList>
    <comment ref="D6" authorId="0" shapeId="0" xr:uid="{00000000-0006-0000-0300-000001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prognóza pre mesto Šaľa 5 480 115,- EUR t.j. o 47 690,- EUR viac ako máme v rozpočte po 1. úprave rozpočtu máme o 123 570,- EUR menej ako oficiálne zverejnená prognóza pre mesto Šaľa</t>
        </r>
      </text>
    </comment>
    <comment ref="B8" authorId="0" shapeId="0" xr:uid="{00000000-0006-0000-0300-000002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predpis 737 393,- EUR
príjem 730 989,- EUR
% 99 - precentné plnenie</t>
        </r>
      </text>
    </comment>
    <comment ref="D8" authorId="0" shapeId="0" xr:uid="{00000000-0006-0000-0300-000003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predpis 817 000,- EUR
99 % - 808 830,- EUR</t>
        </r>
      </text>
    </comment>
    <comment ref="F8" authorId="0" shapeId="0" xr:uid="{00000000-0006-0000-0300-000004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predpis 823 000 eur , 99% z predpisu je 815 tis. eur
</t>
        </r>
      </text>
    </comment>
    <comment ref="F11" authorId="1" shapeId="0" xr:uid="{00000000-0006-0000-0300-000005000000}">
      <text>
        <r>
          <rPr>
            <b/>
            <sz val="8"/>
            <color indexed="81"/>
            <rFont val="Tahoma"/>
            <family val="2"/>
            <charset val="238"/>
          </rPr>
          <t>kovacikova:</t>
        </r>
        <r>
          <rPr>
            <sz val="8"/>
            <color indexed="81"/>
            <rFont val="Tahoma"/>
            <family val="2"/>
            <charset val="238"/>
          </rPr>
          <t xml:space="preserve">
z toho 5000 z novozískaných parkovacích miest revitalizáciou VP</t>
        </r>
      </text>
    </comment>
    <comment ref="F12" authorId="0" shapeId="0" xr:uid="{00000000-0006-0000-0300-000006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+ 5000 eur večianske slávnosti</t>
        </r>
      </text>
    </comment>
    <comment ref="B13" authorId="0" shapeId="0" xr:uid="{00000000-0006-0000-0300-000007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360 tis. EUR + 80 tis. EUR nedoplatky
predpis 2010 - 396 740,- EUR
príjem 2010 - 353 791,- EUR
% výber 89- precentný výber</t>
        </r>
      </text>
    </comment>
    <comment ref="D13" authorId="0" shapeId="0" xr:uid="{00000000-0006-0000-0300-000008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predpis 570 000,- pri 25,- EUR
89 % - 507 300,- EUR
predpis 650 000,- pri 28,50 EUR
rozpočet po zohľadnaní úľav</t>
        </r>
      </text>
    </comment>
    <comment ref="F13" authorId="0" shapeId="0" xr:uid="{00000000-0006-0000-0300-000009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+ 30 tis. na vymahanie nedoplatkov
</t>
        </r>
      </text>
    </comment>
    <comment ref="B14" authorId="0" shapeId="0" xr:uid="{00000000-0006-0000-0300-00000A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predpis 110 040,- EUR
plnenie 115 976,- EUR
105 %</t>
        </r>
      </text>
    </comment>
    <comment ref="F14" authorId="0" shapeId="0" xr:uid="{00000000-0006-0000-0300-00000B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 xml:space="preserve">114 000 tis. skut.plnenie 2012 </t>
        </r>
      </text>
    </comment>
    <comment ref="B18" authorId="0" shapeId="0" xr:uid="{00000000-0006-0000-0300-00000C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z toho 7 700 je kaucia na réžie</t>
        </r>
      </text>
    </comment>
    <comment ref="F20" authorId="0" shapeId="0" xr:uid="{00000000-0006-0000-0300-00000D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250 100 eur nájomné
200 000 eur sluzby spojené s nájomným=nadväznosť na výdavkovú časť</t>
        </r>
      </text>
    </comment>
    <comment ref="F23" authorId="0" shapeId="0" xr:uid="{00000000-0006-0000-0300-00000E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5 klubov x 0,40 EUR/rok
+ Gabriel Száraz ZŠ 4 mesiace 639,92</t>
        </r>
      </text>
    </comment>
    <comment ref="F26" authorId="0" shapeId="0" xr:uid="{00000000-0006-0000-0300-00000F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viazané na výdavky na digitalizáciu kina 
</t>
        </r>
      </text>
    </comment>
    <comment ref="F27" authorId="0" shapeId="0" xr:uid="{00000000-0006-0000-0300-000010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150 eur Fabikova</t>
        </r>
      </text>
    </comment>
    <comment ref="F30" authorId="0" shapeId="0" xr:uid="{00000000-0006-0000-0300-000011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vjazdy z MK = 200 eur
parkoviská = 400 eur
rozkopávky = 3000
ponikat. = 1 000 eur</t>
        </r>
      </text>
    </comment>
    <comment ref="F35" authorId="0" shapeId="0" xr:uid="{00000000-0006-0000-0300-000012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14.000 pokuty MsP
+ 40 000 SU</t>
        </r>
      </text>
    </comment>
    <comment ref="F38" authorId="0" shapeId="0" xr:uid="{00000000-0006-0000-0300-000013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 xml:space="preserve">100 eur poplatok známka za psa
500 eur prop. materialy
</t>
        </r>
      </text>
    </comment>
    <comment ref="F45" authorId="0" shapeId="0" xr:uid="{00000000-0006-0000-0300-000014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+ 4 500 príjem ples</t>
        </r>
      </text>
    </comment>
    <comment ref="F56" authorId="0" shapeId="0" xr:uid="{00000000-0006-0000-0300-000015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49 000 eur výťažky</t>
        </r>
      </text>
    </comment>
    <comment ref="F75" authorId="0" shapeId="0" xr:uid="{00000000-0006-0000-0300-000016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1 220 eur publicita
134 900 eur zeleň</t>
        </r>
      </text>
    </comment>
    <comment ref="F81" authorId="0" shapeId="0" xr:uid="{00000000-0006-0000-0300-000017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20 tis. Eur vrátiť z 2012
skut. Príjem v 2013 má byť 175 440 eur
</t>
        </r>
      </text>
    </comment>
    <comment ref="C114" authorId="0" shapeId="0" xr:uid="{00000000-0006-0000-0300-000018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COV 259 659,14
Bako, Dora 8 613,91</t>
        </r>
      </text>
    </comment>
    <comment ref="D114" authorId="0" shapeId="0" xr:uid="{00000000-0006-0000-0300-000019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COV 113 438,-
</t>
        </r>
        <r>
          <rPr>
            <sz val="8"/>
            <color indexed="8"/>
            <rFont val="Tahoma"/>
            <family val="2"/>
            <charset val="238"/>
          </rPr>
          <t xml:space="preserve">(Hadnaďová - 25 644,-
Hadnaďová - 11 376,-
Kišš - 9 104,-
Kišš - 22 014,-
Gyori - 6 638,-
Ružiak - 14 310,-
pošta  - 24 352,-)
</t>
        </r>
        <r>
          <rPr>
            <b/>
            <sz val="8"/>
            <color indexed="8"/>
            <rFont val="Tahoma"/>
            <family val="2"/>
            <charset val="238"/>
          </rPr>
          <t>Komenského 74 600,- 
garáž 10 000,-</t>
        </r>
      </text>
    </comment>
    <comment ref="F114" authorId="0" shapeId="0" xr:uid="{00000000-0006-0000-0300-00001A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NP po Gelnickej - OVS
NP nájomca Kišš
COV - priestory po MsP = 100 tis. EUR</t>
        </r>
      </text>
    </comment>
    <comment ref="D117" authorId="0" shapeId="0" xr:uid="{00000000-0006-0000-0300-00001B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Kráľovská 400 000,-
Feketeházy 46 843,- (52 047-5 204 zábezpeka v roku 2011)
Komenského 90 400,- 
COV 21 609,-
</t>
        </r>
        <r>
          <rPr>
            <sz val="8"/>
            <color indexed="8"/>
            <rFont val="Tahoma"/>
            <family val="2"/>
            <charset val="238"/>
          </rPr>
          <t xml:space="preserve">(Hadnaďová  - 4 885,-
Hadnaďová - 2 166,-
Kišš -  1 735,-
Kišš - 4 193,-
Gyori - 1 265,-
Ružiak - 2 726,-
pošta - 4 639,-  )
</t>
        </r>
        <r>
          <rPr>
            <b/>
            <sz val="8"/>
            <color indexed="8"/>
            <rFont val="Tahoma"/>
            <family val="2"/>
            <charset val="238"/>
          </rPr>
          <t>drobné odpredaje 4 640,- EUR</t>
        </r>
      </text>
    </comment>
    <comment ref="F117" authorId="0" shapeId="0" xr:uid="{00000000-0006-0000-0300-00001C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CK32  - 200 tis., náhodilé príjmy za odpredaj pozemkov 80 tis. 
53 900 EUR - predaj pozemku pri Tescu (Big Barell)
145 000 ostatné pozemky
</t>
        </r>
      </text>
    </comment>
    <comment ref="D122" authorId="0" shapeId="0" xr:uid="{00000000-0006-0000-0300-00001D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povodne 46 686,- EUR
potom 30 000,- EUR
zrušené uznesením MsZ</t>
        </r>
      </text>
    </comment>
    <comment ref="D125" authorId="0" shapeId="0" xr:uid="{00000000-0006-0000-0300-00001E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predpokladaná skutočnosť je 308 750 EUR</t>
        </r>
      </text>
    </comment>
    <comment ref="D126" authorId="0" shapeId="0" xr:uid="{00000000-0006-0000-0300-00001F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pôvodne 1 239 005,- EUR znížené o 190.294,24 EUR, ktoré boli príjmom roku 2011 (december 2011)</t>
        </r>
      </text>
    </comment>
    <comment ref="F126" authorId="0" shapeId="0" xr:uid="{00000000-0006-0000-0300-000020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547 342 eur stavba
379 791 eur čistiaca technika
8 645 eur stavebný dozor
</t>
        </r>
      </text>
    </comment>
    <comment ref="D128" authorId="0" shapeId="0" xr:uid="{00000000-0006-0000-0300-000021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 xml:space="preserve">predpokladaná skutočnosť je 512 832 EUR
</t>
        </r>
      </text>
    </comment>
    <comment ref="F128" authorId="0" shapeId="0" xr:uid="{00000000-0006-0000-0300-000022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 xml:space="preserve">67 021 EUR - inventár,stroje, vybavenie
1 333 365 EUR - stavba
1 400386 EUR
</t>
        </r>
      </text>
    </comment>
    <comment ref="D131" authorId="0" shapeId="0" xr:uid="{00000000-0006-0000-0300-000023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 xml:space="preserve">893 590 povodne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martincekova</author>
    <author>Nada Mondockova</author>
    <author>kovacikova</author>
  </authors>
  <commentList>
    <comment ref="T11" authorId="0" shapeId="0" xr:uid="{6616DEC6-6B0C-473E-AC0D-A7ED50A8B4AA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300: 15 252 eur
        15 500 EUR</t>
        </r>
      </text>
    </comment>
    <comment ref="T15" authorId="0" shapeId="0" xr:uid="{2C445C6B-7457-4CB9-BAFF-755764CB9683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300: 45 156 eur
       45 500 EUR
150 EUR Pontis</t>
        </r>
      </text>
    </comment>
    <comment ref="W15" authorId="0" shapeId="0" xr:uid="{011CF58A-1FE5-488F-8157-44D6649B4FA9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2 690 eur zdroj 72f
13 012 eur zdroj 45</t>
        </r>
      </text>
    </comment>
    <comment ref="D19" authorId="0" shapeId="0" xr:uid="{F76DBD49-8D1A-4FE1-A8D2-970ED942093F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ZŠ 486 347
MŠ 218 161
+ 7 523 z roku 2025</t>
        </r>
      </text>
    </comment>
    <comment ref="E19" authorId="0" shapeId="0" xr:uid="{514065DC-E490-42B4-835A-82129F11AEB5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131P dopravné 47 eur</t>
        </r>
      </text>
    </comment>
    <comment ref="T19" authorId="0" shapeId="0" xr:uid="{EE3A6C1C-6E9A-42B1-BB5C-88F96328A3C5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300: 11 124 eur
       11 500 EUR</t>
        </r>
      </text>
    </comment>
    <comment ref="D20" authorId="1" shapeId="0" xr:uid="{ACBC45A9-F7BC-4761-8084-4A96CE5C5345}">
      <text>
        <r>
          <rPr>
            <b/>
            <sz val="9"/>
            <color indexed="81"/>
            <rFont val="Segoe UI"/>
            <family val="2"/>
            <charset val="238"/>
          </rPr>
          <t>Nada Mondockova:</t>
        </r>
        <r>
          <rPr>
            <sz val="9"/>
            <color indexed="81"/>
            <rFont val="Segoe UI"/>
            <family val="2"/>
            <charset val="238"/>
          </rPr>
          <t xml:space="preserve">
ZŠ 1 103 439 eur
+ 17 684 eur z roku 2025</t>
        </r>
      </text>
    </comment>
    <comment ref="E20" authorId="0" shapeId="0" xr:uid="{8DC6D09A-CF57-45A2-A981-EC345C695A32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131P dopravné 642 eur</t>
        </r>
      </text>
    </comment>
    <comment ref="W20" authorId="0" shapeId="0" xr:uid="{AF2B0C4A-E34C-4A6E-851D-E72EF9132E71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7 335 eur zdroj 72f
9 895 eur zdroj 45</t>
        </r>
      </text>
    </comment>
    <comment ref="D21" authorId="0" shapeId="0" xr:uid="{C4DFA28E-4BAD-4B69-915B-384A3B91202E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ZŠ 1 694 166 eur
MŠ 157 887 eur
+25 680 eur z roku 2025</t>
        </r>
      </text>
    </comment>
    <comment ref="E21" authorId="0" shapeId="0" xr:uid="{8AB26052-75CE-4372-B03E-F7730795AA99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131P dopravné 1 003 eur</t>
        </r>
      </text>
    </comment>
    <comment ref="D22" authorId="1" shapeId="0" xr:uid="{D489F93D-9CE1-4179-9BD5-DA9E18DFF9EE}">
      <text>
        <r>
          <rPr>
            <b/>
            <sz val="9"/>
            <color indexed="81"/>
            <rFont val="Segoe UI"/>
            <family val="2"/>
            <charset val="238"/>
          </rPr>
          <t>Nada Mondockova:</t>
        </r>
        <r>
          <rPr>
            <sz val="9"/>
            <color indexed="81"/>
            <rFont val="Segoe UI"/>
            <family val="2"/>
            <charset val="238"/>
          </rPr>
          <t xml:space="preserve">
ZŠ 1 634 307 eur 
+ 26 422 eur z roku 2025</t>
        </r>
      </text>
    </comment>
    <comment ref="E22" authorId="0" shapeId="0" xr:uid="{84CFACD0-BE56-434E-A00C-CAEE44EBACFD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131P dopravné 1 466 eur</t>
        </r>
      </text>
    </comment>
    <comment ref="T22" authorId="0" shapeId="0" xr:uid="{721AAB5D-DF43-44F2-9FE3-E0C1BF73E84D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300: 60 000 eur
+15 000 EUR POP</t>
        </r>
      </text>
    </comment>
    <comment ref="D23" authorId="1" shapeId="0" xr:uid="{8891415D-E968-4188-A7D4-92FAD2D97DEE}">
      <text>
        <r>
          <rPr>
            <b/>
            <sz val="9"/>
            <color indexed="81"/>
            <rFont val="Segoe UI"/>
            <family val="2"/>
            <charset val="238"/>
          </rPr>
          <t>Nada Mondockova:</t>
        </r>
        <r>
          <rPr>
            <sz val="9"/>
            <color indexed="81"/>
            <rFont val="Segoe UI"/>
            <family val="2"/>
            <charset val="238"/>
          </rPr>
          <t xml:space="preserve">
ZŠ 1 262 048 eur 
+ 19 742 eur z roku 2025</t>
        </r>
      </text>
    </comment>
    <comment ref="E23" authorId="0" shapeId="0" xr:uid="{91B9D75F-69E3-42EA-81BD-D07DD1198468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131P dopravné 648 eur</t>
        </r>
      </text>
    </comment>
    <comment ref="D24" authorId="0" shapeId="0" xr:uid="{8B9E77D3-4253-4CCB-A12F-E41B81D68C0F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ZŠ 679 885 eur
MŠ 89 292 eur
+ 10 215 eur z roku 2025</t>
        </r>
      </text>
    </comment>
    <comment ref="E24" authorId="0" shapeId="0" xr:uid="{3BFA6A98-B4D9-4166-B5D6-EDD2D408292B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131P dopravné 569 eur</t>
        </r>
      </text>
    </comment>
    <comment ref="E30" authorId="0" shapeId="0" xr:uid="{9CF9F818-7D82-4710-B91D-E39C73212800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+ 4 375 eur z roku 2025, zdroj 131P</t>
        </r>
      </text>
    </comment>
    <comment ref="G52" authorId="2" shapeId="0" xr:uid="{9AEB64FE-1E49-478E-8F23-685CA1F1B12A}">
      <text>
        <r>
          <rPr>
            <b/>
            <sz val="9"/>
            <color indexed="81"/>
            <rFont val="Segoe UI"/>
            <family val="2"/>
            <charset val="238"/>
          </rPr>
          <t>kovacikova:</t>
        </r>
        <r>
          <rPr>
            <sz val="9"/>
            <color indexed="81"/>
            <rFont val="Segoe UI"/>
            <family val="2"/>
            <charset val="238"/>
          </rPr>
          <t xml:space="preserve">
rezerva u nás v príjmoch 
200: 36 570 EUR
300: 27 500 EUR - 2500 EUR</t>
        </r>
      </text>
    </comment>
  </commentList>
</comments>
</file>

<file path=xl/sharedStrings.xml><?xml version="1.0" encoding="utf-8"?>
<sst xmlns="http://schemas.openxmlformats.org/spreadsheetml/2006/main" count="1140" uniqueCount="759">
  <si>
    <t>plnenie 2010</t>
  </si>
  <si>
    <t>plnenie 2011</t>
  </si>
  <si>
    <t>rozpočet 2012</t>
  </si>
  <si>
    <t>rozpočet 2013 predložený</t>
  </si>
  <si>
    <t>Bežný rozpočet</t>
  </si>
  <si>
    <t>100 Daňové príjmy</t>
  </si>
  <si>
    <t>110 dane z príjmov</t>
  </si>
  <si>
    <t xml:space="preserve">111 daň z príjmov </t>
  </si>
  <si>
    <t>120 daň z majetku</t>
  </si>
  <si>
    <t>121 daň z nehnuteľnosti</t>
  </si>
  <si>
    <t>130 domáce dane na tovary a služby</t>
  </si>
  <si>
    <t>133001 daň za psa</t>
  </si>
  <si>
    <t>133012 daň za VP parkovisko</t>
  </si>
  <si>
    <t xml:space="preserve">133012 daň za VP  </t>
  </si>
  <si>
    <t>133013 poplatok za KO FO</t>
  </si>
  <si>
    <t>133013 poplatok za KO PO</t>
  </si>
  <si>
    <t>200 - 300 Nedaňové príjmy</t>
  </si>
  <si>
    <t>212 príjmy z vlastníctva</t>
  </si>
  <si>
    <t>212002 nájomné z pozemkov</t>
  </si>
  <si>
    <t>212003 nájomné COV</t>
  </si>
  <si>
    <t>212003 nájomné MsÚ</t>
  </si>
  <si>
    <t>212003 nájomné Bytkomfort</t>
  </si>
  <si>
    <t>212003 nájomné DK</t>
  </si>
  <si>
    <t>212003 nájomné Dolná</t>
  </si>
  <si>
    <t>212003 nájomné športoviská</t>
  </si>
  <si>
    <t>212003 nájomné Dom smútku</t>
  </si>
  <si>
    <t>212003 nájomné z majetku mesta</t>
  </si>
  <si>
    <t>212003 nájomné za plochy DK</t>
  </si>
  <si>
    <t>212003 príležitostný prenájom</t>
  </si>
  <si>
    <t>220 administratívne a iné poplatky</t>
  </si>
  <si>
    <t>221 správne poplatky automaty</t>
  </si>
  <si>
    <t>221 správne poplatky ŽP, SÚ, ostatné</t>
  </si>
  <si>
    <t>221 správne poplatky matrika</t>
  </si>
  <si>
    <t>221 správne poplatky REGOB</t>
  </si>
  <si>
    <t>221 správne poplatky rybárske lístky</t>
  </si>
  <si>
    <t>221 správne poplatky osvedčovanie listín a podpisov</t>
  </si>
  <si>
    <t>222 pokuty MsP, COV, SÚ, ostatné</t>
  </si>
  <si>
    <t>222 MsKJJ za porušenie finančnej disciplíny</t>
  </si>
  <si>
    <t>223 cintorínske poplatky - hrobové miesta</t>
  </si>
  <si>
    <t>223 tábor, prop. materiál, rozhl., knihy, WC,súť. podklady</t>
  </si>
  <si>
    <t>223 príjem z inzercie</t>
  </si>
  <si>
    <t>223 PCO</t>
  </si>
  <si>
    <t>223 príjem z recyklačného fondu, ENVI PAK</t>
  </si>
  <si>
    <t>223 poplatok za uloženie odpadu</t>
  </si>
  <si>
    <t>223 príjmy MsKS -  vstupné kultúrne podujatia</t>
  </si>
  <si>
    <t>223 vstupné kino</t>
  </si>
  <si>
    <t>223 iné príjmy kino + príjem mestský ples</t>
  </si>
  <si>
    <t>223 výlep plagátov</t>
  </si>
  <si>
    <t>223 vstupné SD Veča</t>
  </si>
  <si>
    <t>223 vstupné KS Večierka</t>
  </si>
  <si>
    <t>223 príjmy MsKS - kurzy</t>
  </si>
  <si>
    <t>223 vstupné športoviská</t>
  </si>
  <si>
    <t>223 COV refundácia služieb</t>
  </si>
  <si>
    <t>223 spracovanie ÚPN</t>
  </si>
  <si>
    <t>223004 COV -príjem z prebyt. majetku</t>
  </si>
  <si>
    <t>229 poplatky za znečisťovanie ovzdušia</t>
  </si>
  <si>
    <t>292 ostatné príjmy</t>
  </si>
  <si>
    <t>290 komunitná nadácia</t>
  </si>
  <si>
    <t>242 úroky</t>
  </si>
  <si>
    <t>292 refundácie</t>
  </si>
  <si>
    <t>292 refundácia Bytkomfort</t>
  </si>
  <si>
    <t>292 vlastné príjmy MsKJJ - členské</t>
  </si>
  <si>
    <t>292 príjem za telefón MsKJJ - refundácia</t>
  </si>
  <si>
    <t>292 vlastné príjmy škôl a školských zariadení</t>
  </si>
  <si>
    <t>246 úroky z hypotekárnych záložných listov</t>
  </si>
  <si>
    <t xml:space="preserve"> </t>
  </si>
  <si>
    <t>310 transfery na rôznej úrovni</t>
  </si>
  <si>
    <t>311 sponzorstvo Európsky deň židovskej kultúry</t>
  </si>
  <si>
    <t>311 grant ESF-projekt FSR (terénny soc. pracovník)</t>
  </si>
  <si>
    <t>311 sponzorstvo</t>
  </si>
  <si>
    <t>311 sponzorstvo na Súsošie Sv. Trojice</t>
  </si>
  <si>
    <t>311 sponzorstvo ZsE - rodinný futbal</t>
  </si>
  <si>
    <t>311 sponzorstvo MsP</t>
  </si>
  <si>
    <t>311 sponzorstvo ENVI - PACK</t>
  </si>
  <si>
    <t>311 grant MŠ Hollého</t>
  </si>
  <si>
    <t>311 grant knižnica</t>
  </si>
  <si>
    <t>311 grant opatrenia na zlepšenie ovzdušia v meste</t>
  </si>
  <si>
    <t>311 grant verejné osvetlenie</t>
  </si>
  <si>
    <t>311 grant stromy</t>
  </si>
  <si>
    <t>311 grant na ŠH</t>
  </si>
  <si>
    <t>311 grant - dotácia na digitalizáciu kina</t>
  </si>
  <si>
    <t>312001 dotácia MF na poskytovanie soc. služieb</t>
  </si>
  <si>
    <t>312001 dotácia MF na dofinancovanie</t>
  </si>
  <si>
    <t>312001 decentralizačná dotácia - matrika</t>
  </si>
  <si>
    <t>312001 decentralizačná dotácia - školstvo</t>
  </si>
  <si>
    <t>312001 decentralizačná dotácia - SÚ</t>
  </si>
  <si>
    <t>312001 decentralizačná dotácia ŠFRB</t>
  </si>
  <si>
    <t>312001 decentralizačná dot. správa pozem. komunik.</t>
  </si>
  <si>
    <t>312001 decentralizačná dotácia na životné prostredie</t>
  </si>
  <si>
    <t>312001 decentralizačná dotácia - register obyvateľov</t>
  </si>
  <si>
    <t>312001 dotácia na spoloč. školský úrad</t>
  </si>
  <si>
    <t>312001 dotácia cest., stravné, UP, vzd. pouk., štip.</t>
  </si>
  <si>
    <t>312001 aktivačný príspevok</t>
  </si>
  <si>
    <t>312001 kultúrne poukazy</t>
  </si>
  <si>
    <t>312001 kultúrne poukazy kino</t>
  </si>
  <si>
    <t>312001 chránená dielňa</t>
  </si>
  <si>
    <t>312001 projekt Náučný chodník</t>
  </si>
  <si>
    <t>312001 dotácia na sociálnu pomoc</t>
  </si>
  <si>
    <t>312001 dobrovoľnícka služba</t>
  </si>
  <si>
    <t>312001 voľby do parlamentu, samosprávy + referendum</t>
  </si>
  <si>
    <t>312001 príjmy MsKS - Zlatá Priadka</t>
  </si>
  <si>
    <t>312008 NSK  Súsošie Sv. Trojice</t>
  </si>
  <si>
    <t>312008 NSK Šalianske reminiscencie</t>
  </si>
  <si>
    <t>312008 NSK medzinárodný futbalový zápas</t>
  </si>
  <si>
    <t xml:space="preserve">312008 NSK Zlatá Priadka </t>
  </si>
  <si>
    <t xml:space="preserve">312008 NSK Kultúrne leto </t>
  </si>
  <si>
    <t>312008 NSK Tvorivé dielne - hračkovňa</t>
  </si>
  <si>
    <t>312008 NSK - Karneval na ľade</t>
  </si>
  <si>
    <t>312008 NSK - Šalianska veža</t>
  </si>
  <si>
    <t>331002 Visegradský fond</t>
  </si>
  <si>
    <t>Kapitálový rozpočet</t>
  </si>
  <si>
    <t>230 kapitálové príjmy</t>
  </si>
  <si>
    <t>231 príjem z predaja budov</t>
  </si>
  <si>
    <t>231 príjem z predaja bytov</t>
  </si>
  <si>
    <t>231 príjem z predaja prebytočného majetku</t>
  </si>
  <si>
    <t>233 príjem z predaja pozemkov</t>
  </si>
  <si>
    <t>300 granty a transfery</t>
  </si>
  <si>
    <t>321 kamerový systém</t>
  </si>
  <si>
    <t>321,341 grant na knižnicu</t>
  </si>
  <si>
    <t>321 grant na nákup osobného automobilu - OSS</t>
  </si>
  <si>
    <t>321 grant digitalizácia kina</t>
  </si>
  <si>
    <t>321 kapitálový transfer ZŠ Pázmáňa</t>
  </si>
  <si>
    <t>321,341 grant - znížnie energet. náročnosti MŠ Hollého</t>
  </si>
  <si>
    <t>321,341 grant revitalizácia verejných priestranstiev CMZ Šaľa</t>
  </si>
  <si>
    <t>321,341 grant - opatrenia na zlepšenie ovzdušia v meste</t>
  </si>
  <si>
    <t>321, 341 grant - Verejné osvetlenie</t>
  </si>
  <si>
    <t>321,341 grant Domov dôchodcov</t>
  </si>
  <si>
    <t>Príjmové finančné operácie</t>
  </si>
  <si>
    <t>453 zostatok prostr. z min. roku</t>
  </si>
  <si>
    <t>513 komerčné úvery</t>
  </si>
  <si>
    <t>PRÍJMY SPOLU</t>
  </si>
  <si>
    <t xml:space="preserve">  Návrh programovo rozpočtovaných výdavkov  na rok 2013</t>
  </si>
  <si>
    <t>čerpanie 2010</t>
  </si>
  <si>
    <t>čerpanie 2011</t>
  </si>
  <si>
    <t>REKAPITULÁCIA ROZPOČTU v EUR</t>
  </si>
  <si>
    <t xml:space="preserve">SPOLU </t>
  </si>
  <si>
    <t>Rok 2010</t>
  </si>
  <si>
    <t>Rok 2011</t>
  </si>
  <si>
    <t>Rok 2012</t>
  </si>
  <si>
    <t>Rok 2013</t>
  </si>
  <si>
    <t>2010             v tom:</t>
  </si>
  <si>
    <t>Bežné</t>
  </si>
  <si>
    <t>Kapitál.</t>
  </si>
  <si>
    <t>Fin.oper.</t>
  </si>
  <si>
    <t>2011             v tom:</t>
  </si>
  <si>
    <t>2012             v tom:</t>
  </si>
  <si>
    <t>2013             v tom:</t>
  </si>
  <si>
    <t>VÝDAVKY CELKOM:</t>
  </si>
  <si>
    <t>v tom:</t>
  </si>
  <si>
    <t>Program 1:   Plánovanie, manažment a kontrola</t>
  </si>
  <si>
    <t>Podprog 1.1</t>
  </si>
  <si>
    <t xml:space="preserve">Manažment mesta </t>
  </si>
  <si>
    <t>Výkon funkcie primátora mesta</t>
  </si>
  <si>
    <t>Výkon funkcie prednostu</t>
  </si>
  <si>
    <t>Výkon funkcie poslancov mesta a členov komisií zriadených pri MsZ</t>
  </si>
  <si>
    <t>Participácia obyvateľov na riadení samosprávy</t>
  </si>
  <si>
    <t>Podprog 1.2</t>
  </si>
  <si>
    <t>Plánovanie</t>
  </si>
  <si>
    <t xml:space="preserve">Strategické plánovanie </t>
  </si>
  <si>
    <t xml:space="preserve">Územné plánovanie  </t>
  </si>
  <si>
    <t>Investičné plánovanie</t>
  </si>
  <si>
    <t>Podprog 1.3</t>
  </si>
  <si>
    <t>Kontrolná činnosť</t>
  </si>
  <si>
    <t>Podprog 1.4</t>
  </si>
  <si>
    <t>Daňová,rozpočtová politika a audit</t>
  </si>
  <si>
    <t>Podprog 1.5</t>
  </si>
  <si>
    <t>Členstvo v samosprávnych organizáciách a združeniach</t>
  </si>
  <si>
    <t>Podprog 1.6</t>
  </si>
  <si>
    <t>Elektronická samospráva (ESAM)</t>
  </si>
  <si>
    <t>Program 2:   Propagácia a marketing</t>
  </si>
  <si>
    <t>Podprog 2.1</t>
  </si>
  <si>
    <t xml:space="preserve">Informovanosť o meste </t>
  </si>
  <si>
    <t>Internetový portál mesta Šaľa</t>
  </si>
  <si>
    <t>Medializácia mesta a prezentácie na výstavách</t>
  </si>
  <si>
    <t>Propagačné materiály a predmety</t>
  </si>
  <si>
    <t>Mesačník Šaľa</t>
  </si>
  <si>
    <t>Info-kiosky</t>
  </si>
  <si>
    <t>SMS Centrum</t>
  </si>
  <si>
    <t>Kronika mesta</t>
  </si>
  <si>
    <t>TV Zobor</t>
  </si>
  <si>
    <t>Podprog 2.2</t>
  </si>
  <si>
    <t>PR Podujatia</t>
  </si>
  <si>
    <t>Jarmok tradičných remesiel</t>
  </si>
  <si>
    <t>Vianočné trhy a Silvester</t>
  </si>
  <si>
    <t>Podprog 2.3</t>
  </si>
  <si>
    <t>Vzťahy s partnerskými mestami v zahraničí</t>
  </si>
  <si>
    <t>Program 3:   Interné služby</t>
  </si>
  <si>
    <t>Podprog 3.1</t>
  </si>
  <si>
    <t xml:space="preserve">Interný informačný systém </t>
  </si>
  <si>
    <t>Podprog 3.2</t>
  </si>
  <si>
    <t>Právne služby</t>
  </si>
  <si>
    <t>Podprog 3.3</t>
  </si>
  <si>
    <t>Správa a údržba majetku mesta</t>
  </si>
  <si>
    <t>Údržba hnuteľného majetku města</t>
  </si>
  <si>
    <t>Evidencia a správa pozemkov mesta</t>
  </si>
  <si>
    <t>Správa a údržba budov</t>
  </si>
  <si>
    <t>Vysporiadavanie pozemkov na území mesta</t>
  </si>
  <si>
    <t>Podprog 3.4</t>
  </si>
  <si>
    <t>Vzdelávanie zamestnancov mesta</t>
  </si>
  <si>
    <t>Podprog 3.5</t>
  </si>
  <si>
    <t>Pracovná zdravotná služba</t>
  </si>
  <si>
    <t>Program 4: Služby občanom</t>
  </si>
  <si>
    <t xml:space="preserve">Podprog 4.1 </t>
  </si>
  <si>
    <t>Občianske obrady a slávnosti</t>
  </si>
  <si>
    <t>Podprog 4.2</t>
  </si>
  <si>
    <t>Kancelária prvého kontaktu</t>
  </si>
  <si>
    <t>Osvedčovanie listín a podpisov,matrika, evidencia obyv.</t>
  </si>
  <si>
    <t>Súpisné čísla a označovanie ulíc a iných verejných priestranstiev</t>
  </si>
  <si>
    <t>Podprog 4.3.</t>
  </si>
  <si>
    <t>Stavebný úrad</t>
  </si>
  <si>
    <t>Program 5:   Bezpečnosť, právo a poriadok</t>
  </si>
  <si>
    <t>Podprog 5.1</t>
  </si>
  <si>
    <t>Verejný poriadok a bezpečnosť</t>
  </si>
  <si>
    <t>Hliadkovanie</t>
  </si>
  <si>
    <t>Kamerový systém</t>
  </si>
  <si>
    <t>Pult centralizovanej ochrany</t>
  </si>
  <si>
    <t>Prevencia kriminality</t>
  </si>
  <si>
    <t>Podprog 5.2</t>
  </si>
  <si>
    <t>Civilná ochrana</t>
  </si>
  <si>
    <t>Podprog 5.3</t>
  </si>
  <si>
    <t>Protipožiarna ochrana</t>
  </si>
  <si>
    <t>Podprog 5.4</t>
  </si>
  <si>
    <t>Verejné osvetlenie</t>
  </si>
  <si>
    <t>Rekonštrukcia VO</t>
  </si>
  <si>
    <t>Údržba VO</t>
  </si>
  <si>
    <t>Prevádzka VO</t>
  </si>
  <si>
    <t>Oprava VO</t>
  </si>
  <si>
    <t>Podprog 5.5</t>
  </si>
  <si>
    <t>Bezpečnosť obyvateľov vo vzťahu k zvieratám na verejných plochách</t>
  </si>
  <si>
    <t>Ošetrovanie a karantenizácia zvierat</t>
  </si>
  <si>
    <t xml:space="preserve">Zabezpečenie zberu exkrementov z verejných priestranstiev </t>
  </si>
  <si>
    <t>Program 6:   Odpadové hospodárstvo</t>
  </si>
  <si>
    <t>Podprog 6.1</t>
  </si>
  <si>
    <t>Zber, vývoz a zneškodňovanie odpadu</t>
  </si>
  <si>
    <t>Zber a vývoz odpadu</t>
  </si>
  <si>
    <t>Zneškodňovanie odpadu</t>
  </si>
  <si>
    <t>Podprog 6.2</t>
  </si>
  <si>
    <t>Separácia odpadu</t>
  </si>
  <si>
    <t>Separácia biologicky rozložiteľného odpadu</t>
  </si>
  <si>
    <t>Separácia ostatného odpadu a nebezpečného odpadu</t>
  </si>
  <si>
    <t>Podprog 6.3</t>
  </si>
  <si>
    <t>Nakladanie s odpadovými vodami</t>
  </si>
  <si>
    <t>Program 7:   Komunikácie</t>
  </si>
  <si>
    <t>Podprog 7.1</t>
  </si>
  <si>
    <t>Cesty</t>
  </si>
  <si>
    <t>Výstavba ciest</t>
  </si>
  <si>
    <t>Rekonštrukcia ciest</t>
  </si>
  <si>
    <t>Zimná údržba</t>
  </si>
  <si>
    <t>Oprava a údržba ciest</t>
  </si>
  <si>
    <t>Čistenie mesta</t>
  </si>
  <si>
    <t>Dopravné značenie</t>
  </si>
  <si>
    <t>Dopravné zariadenia</t>
  </si>
  <si>
    <t>Podprog 7.2</t>
  </si>
  <si>
    <t>Chodníky</t>
  </si>
  <si>
    <t>Výstavba chodníkov</t>
  </si>
  <si>
    <t>Údžba a oprava chodníkov</t>
  </si>
  <si>
    <t>Podprog 7.3</t>
  </si>
  <si>
    <t>Parkoviská</t>
  </si>
  <si>
    <t>Výstavba parkovísk</t>
  </si>
  <si>
    <t>Údržba a oprava parkovísk</t>
  </si>
  <si>
    <t>Program 8:   Doprava</t>
  </si>
  <si>
    <t>Podprog 8.1</t>
  </si>
  <si>
    <t>Zabezpečenie mestskej autobusovej dopravy</t>
  </si>
  <si>
    <t>Podprog 8.2</t>
  </si>
  <si>
    <t xml:space="preserve">Zástavky MHD </t>
  </si>
  <si>
    <t>Údržba zastávok MHD</t>
  </si>
  <si>
    <t>Program 9:   Vzdelávanie</t>
  </si>
  <si>
    <t>Podprog 9.1</t>
  </si>
  <si>
    <t>Spoločný školský úrad</t>
  </si>
  <si>
    <t>Podprog 9.2</t>
  </si>
  <si>
    <t>Materské školy</t>
  </si>
  <si>
    <t>MŠ Budovateľská ul. so ŠJ</t>
  </si>
  <si>
    <t>MŠ Družstená ul. so ŠJ</t>
  </si>
  <si>
    <t>MŠ Hollého ul. so ŠJ</t>
  </si>
  <si>
    <t>MŠ Horná ul. so ŠJ</t>
  </si>
  <si>
    <t>MŠ Okružná  ul. so ŠJ</t>
  </si>
  <si>
    <t>MŠ Ul. 8. Mája  so ŠJ</t>
  </si>
  <si>
    <t>MŠ Ul. P.J. Šafárika</t>
  </si>
  <si>
    <t>Podprog 9.3</t>
  </si>
  <si>
    <t>Základné školy</t>
  </si>
  <si>
    <t>ZŠ Bernolákova ul.. so ŠJ a ŠKD</t>
  </si>
  <si>
    <t>ZŠ Hollého ul.  so ŠJ a ŠKD</t>
  </si>
  <si>
    <t>ZŠ Horná ul. so ŠJ a ŠKD</t>
  </si>
  <si>
    <t>ZŠ Krátka ul. so ŠJ a ŠKD</t>
  </si>
  <si>
    <t>ZŠ Pionierska ul.so ŠJ a ŠKD</t>
  </si>
  <si>
    <t>ZŠ s MŠ Ul.P. Pázmaňa s VŠJ a ŠKD</t>
  </si>
  <si>
    <t>Podprog 9.4</t>
  </si>
  <si>
    <t>Záujmové vzdelávanie a voľno-časové aktivity</t>
  </si>
  <si>
    <t>Základná umelecká škola</t>
  </si>
  <si>
    <t>Centrum voľného času</t>
  </si>
  <si>
    <t>Podprog 9.5</t>
  </si>
  <si>
    <t>Účelovo viazané prostriedky...</t>
  </si>
  <si>
    <t>Podprog 9.6</t>
  </si>
  <si>
    <t>Výdavky z vlast.príjmov škôl a šk.zariad.</t>
  </si>
  <si>
    <t>Podprog. 9.7</t>
  </si>
  <si>
    <t>Rezerva</t>
  </si>
  <si>
    <t>Program 10: Šport</t>
  </si>
  <si>
    <t>Podprog 10.1</t>
  </si>
  <si>
    <t>Športové a telovýchovné akcie</t>
  </si>
  <si>
    <t>Podprog 10.2</t>
  </si>
  <si>
    <t>Športová infraštruktúra</t>
  </si>
  <si>
    <t>Mestský zimný štadión</t>
  </si>
  <si>
    <t>Futbalový štadión Šaľa</t>
  </si>
  <si>
    <t>Kolkáreň</t>
  </si>
  <si>
    <t>Mestská športová hala</t>
  </si>
  <si>
    <t>Futbalový štadión Veča</t>
  </si>
  <si>
    <t>Podprog 10.3</t>
  </si>
  <si>
    <t>Grantový systém na podporu športu</t>
  </si>
  <si>
    <t>Program 11: Kultúra</t>
  </si>
  <si>
    <t>Podprog 11.1</t>
  </si>
  <si>
    <t>Kultúrne podujatia</t>
  </si>
  <si>
    <t>Podprog 11.2</t>
  </si>
  <si>
    <t>Kultúrna infraštruktúra</t>
  </si>
  <si>
    <t>Mestská knižnica</t>
  </si>
  <si>
    <t>Amfiteáter</t>
  </si>
  <si>
    <t>Dom kultúry Šaľa</t>
  </si>
  <si>
    <t>Spoločenský dom Veča</t>
  </si>
  <si>
    <t>Podprog 11.3</t>
  </si>
  <si>
    <t>Starostlivosť o kultúrne pamiatky</t>
  </si>
  <si>
    <t>Podprog 11.4</t>
  </si>
  <si>
    <t>Grantový systém na podporu kultúry v meste</t>
  </si>
  <si>
    <t>Program 12: Prostredie pre život</t>
  </si>
  <si>
    <t>Podprog 12.1</t>
  </si>
  <si>
    <t>Verejné priestranstvá</t>
  </si>
  <si>
    <t>Verejná zeleň</t>
  </si>
  <si>
    <t>Deratizácia verejných priestranstiev</t>
  </si>
  <si>
    <t>Revitalizácia verejných priestranstiev</t>
  </si>
  <si>
    <t>Údržba verejných priestranstiev</t>
  </si>
  <si>
    <t>Podprog 12.2</t>
  </si>
  <si>
    <t>Mestský mobiliár</t>
  </si>
  <si>
    <t>Podprog 12.3</t>
  </si>
  <si>
    <t xml:space="preserve">Detské ihriská </t>
  </si>
  <si>
    <t>Podprog 12.4</t>
  </si>
  <si>
    <t>Verejné WC</t>
  </si>
  <si>
    <t>Podprog 12.5</t>
  </si>
  <si>
    <t>Artézske studne</t>
  </si>
  <si>
    <t>Podprog 12.6</t>
  </si>
  <si>
    <t>Cintorínske služby</t>
  </si>
  <si>
    <t>Podprog 12.7.</t>
  </si>
  <si>
    <t>Grantový systém na podporu rozvoja zelene v meste</t>
  </si>
  <si>
    <t xml:space="preserve">Program 13: </t>
  </si>
  <si>
    <t>Sociálna starostlivosť</t>
  </si>
  <si>
    <t>Podprog 13.1</t>
  </si>
  <si>
    <t>Starostlivosť o rodinu</t>
  </si>
  <si>
    <t>Detské jasle</t>
  </si>
  <si>
    <t>Domov pre osamelých rodičov</t>
  </si>
  <si>
    <t>Sociálno-právna ochrana detí a sociálna kuratela</t>
  </si>
  <si>
    <t>Podprog 13.2</t>
  </si>
  <si>
    <t>Opatrovateľské služby</t>
  </si>
  <si>
    <t>Terénna opatrovateľská služba</t>
  </si>
  <si>
    <t>Centralizovaná opatrovateľská služba</t>
  </si>
  <si>
    <t xml:space="preserve">Terénno-duchovná služba </t>
  </si>
  <si>
    <t>Domov sociálnej starostlivosti pre deti a dospelých</t>
  </si>
  <si>
    <t>Podprog 13.3</t>
  </si>
  <si>
    <t>Služby seniorom</t>
  </si>
  <si>
    <t xml:space="preserve">Kluby dôchodcov </t>
  </si>
  <si>
    <t>Jedálne pre dôchodcov</t>
  </si>
  <si>
    <t>Domov dôchodcov</t>
  </si>
  <si>
    <t>Podprog 13.4</t>
  </si>
  <si>
    <t>Starostlivosť o bezprístrešných obyvateľov</t>
  </si>
  <si>
    <t>Útulok pre bezdomovcov</t>
  </si>
  <si>
    <t>Strava pre bezdomovcov</t>
  </si>
  <si>
    <t>Nocľaháreň</t>
  </si>
  <si>
    <t>Podprog 13.5</t>
  </si>
  <si>
    <t>Klub zdravotne znevýhodnených občanov</t>
  </si>
  <si>
    <t>Podprog 13.6</t>
  </si>
  <si>
    <t>Aktivačné práce</t>
  </si>
  <si>
    <t>Podprog 13.7</t>
  </si>
  <si>
    <t>Dávky sociálnej pomoci</t>
  </si>
  <si>
    <t>Jednorazové dávky v hmotnej núdzi</t>
  </si>
  <si>
    <t>Podprog 13.8</t>
  </si>
  <si>
    <t>Grantový systém pre podporu sociálne a zdravotne znevýhodnených občanom mesta</t>
  </si>
  <si>
    <t>Program 14: Bývanie</t>
  </si>
  <si>
    <t>Program 15: Administratíva</t>
  </si>
  <si>
    <t>záväzky z dodáv. Faktúr</t>
  </si>
  <si>
    <t>vklad do ZI MET</t>
  </si>
  <si>
    <t>mzdy + ostatné</t>
  </si>
  <si>
    <t>Bežné príjmy</t>
  </si>
  <si>
    <t>Bežné výdavky</t>
  </si>
  <si>
    <t>Rozdiel</t>
  </si>
  <si>
    <t xml:space="preserve">Kapitálové príjmy </t>
  </si>
  <si>
    <t>Kapitálové výdavky</t>
  </si>
  <si>
    <t>Výdavkové finančné operácie</t>
  </si>
  <si>
    <t>VÝDAVKY SPOLU</t>
  </si>
  <si>
    <t>ROZDIEL</t>
  </si>
  <si>
    <t>312001 nadačný fond Tesco pre zdravšie mestá</t>
  </si>
  <si>
    <t>Bývalé kúpalisko</t>
  </si>
  <si>
    <t xml:space="preserve">rozpočet 2013 </t>
  </si>
  <si>
    <t>311 grant cena J. Johanidesa</t>
  </si>
  <si>
    <t>331 Brusel - družobné stretnutia - Európa pre občana</t>
  </si>
  <si>
    <t>očakávaná skutočnosť 2012</t>
  </si>
  <si>
    <t>očakávané čerpanie 2012</t>
  </si>
  <si>
    <t xml:space="preserve">SUMÁR PRÍJMOV A VÝDAVKOV   na rok  2013 </t>
  </si>
  <si>
    <t xml:space="preserve">      Návrh príjmov rozpočtu na rok 2013</t>
  </si>
  <si>
    <t>OSS</t>
  </si>
  <si>
    <t>Spolu</t>
  </si>
  <si>
    <t>Kapitálové príjmy- (230)</t>
  </si>
  <si>
    <t>Kapitálové výdavky- (700)</t>
  </si>
  <si>
    <t>Príjmové finančné operácie- (400, 500)</t>
  </si>
  <si>
    <t>Výdavkové finančné operácie- (800)</t>
  </si>
  <si>
    <t>Fin.oper. 800</t>
  </si>
  <si>
    <t>V EUR</t>
  </si>
  <si>
    <t>Bežné príjmy- (100, 200, 300)</t>
  </si>
  <si>
    <t>Bežné výdavky- (600)</t>
  </si>
  <si>
    <t>V EUR za hlavné ekonomické kategórie</t>
  </si>
  <si>
    <t>v EUR za hlavné ekomomicé kategórie</t>
  </si>
  <si>
    <t>Bežný rozpočet- (100, 200, 300)</t>
  </si>
  <si>
    <t>Kapitálový rozpočet- (230, 300)</t>
  </si>
  <si>
    <t>Bežné 
600</t>
  </si>
  <si>
    <t>Kapitál. 
700</t>
  </si>
  <si>
    <t xml:space="preserve">Rozdiel </t>
  </si>
  <si>
    <t>212002 prenájom VP</t>
  </si>
  <si>
    <t>Kapitálové výdavky a rezerva na orig. kompetencie</t>
  </si>
  <si>
    <t>Participatívny rozpočet</t>
  </si>
  <si>
    <t>Podprog 15.1.</t>
  </si>
  <si>
    <t>Podprog 15.2.</t>
  </si>
  <si>
    <t xml:space="preserve">Podprog 15.3. </t>
  </si>
  <si>
    <t>Záväzky z dodávateľských faktúr</t>
  </si>
  <si>
    <t>Dlhová služba</t>
  </si>
  <si>
    <t>Administratíva (mzdy, ostatné výdavky)</t>
  </si>
  <si>
    <t>Názov ekonomickej klasifikácie</t>
  </si>
  <si>
    <t>Dotácia pre zabezpečovanie zdravých životných podmienok a bezpečnosti obyvateľov</t>
  </si>
  <si>
    <t>MŠ Bernolákova ul.</t>
  </si>
  <si>
    <t>Bežné a kapitálové príjmy</t>
  </si>
  <si>
    <t>Bežné a kapitálové výdavky</t>
  </si>
  <si>
    <t>222 úroky z omeškania</t>
  </si>
  <si>
    <t>292 dobropisy</t>
  </si>
  <si>
    <t>223 Terra Wag</t>
  </si>
  <si>
    <t>133006 daň z ubytovania</t>
  </si>
  <si>
    <t>223 príjem domov dôchodcov</t>
  </si>
  <si>
    <t xml:space="preserve">MŠ Súkromná </t>
  </si>
  <si>
    <t>Elektronická samospráva</t>
  </si>
  <si>
    <t>Televízia</t>
  </si>
  <si>
    <t>292 rulety, videohry, stávkové kancelárie,  poistné, vec. bremeno</t>
  </si>
  <si>
    <t>223 vlastné príjmy MsKJJ - členské</t>
  </si>
  <si>
    <t>311 grant chránená dielňa</t>
  </si>
  <si>
    <t>Príjmy 100-500</t>
  </si>
  <si>
    <t>Výdavky 600-800</t>
  </si>
  <si>
    <t>1.</t>
  </si>
  <si>
    <t>Modernizácia VO</t>
  </si>
  <si>
    <t>5 % spoluúčasť mesta na projektoch EÚ</t>
  </si>
  <si>
    <t>Kapitálové výdavky spolu</t>
  </si>
  <si>
    <t xml:space="preserve">Projektová dokumentácia </t>
  </si>
  <si>
    <t>Domov dôchodcov - rozpočtová org.</t>
  </si>
  <si>
    <t>Zariadenie pre seniorov</t>
  </si>
  <si>
    <t xml:space="preserve">311 Grant pontis </t>
  </si>
  <si>
    <t>311 grant - dobrovol. požiarny zbor</t>
  </si>
  <si>
    <t>ZŠ J. Hollého so ŠJ a ŠKD</t>
  </si>
  <si>
    <t>ZŠ s MŠ  J. Murgaša so ŠJ a ŠKD</t>
  </si>
  <si>
    <t>ZŠ J. C. Hronského so ŠJ a ŠKD</t>
  </si>
  <si>
    <t>ZŠ Ľ. Štúra so ŠJ a ŠKD</t>
  </si>
  <si>
    <t>ZŠ s MŠ P. Pázmaňa s VŠJ a ŠKD</t>
  </si>
  <si>
    <t>223 ostatné príjmy MsKS (kurzy, výlep plagátov)</t>
  </si>
  <si>
    <t>292 vratky</t>
  </si>
  <si>
    <t>450 rezervný fond</t>
  </si>
  <si>
    <t>453 účelovo viazané prostriedky z pred. Rokov</t>
  </si>
  <si>
    <t>Tenis</t>
  </si>
  <si>
    <t xml:space="preserve">321 dotácia z Envirofondu </t>
  </si>
  <si>
    <t>223 príjmy školské jedálne - potraviny</t>
  </si>
  <si>
    <t>Podprog. 9.8.</t>
  </si>
  <si>
    <t>Školské jedálne - potraviny</t>
  </si>
  <si>
    <t>Program      Podprogram                              Prvok</t>
  </si>
  <si>
    <t>Škola                Zariadenie</t>
  </si>
  <si>
    <t>Kap.    výd.</t>
  </si>
  <si>
    <t>CELKOM  VÝDAVKY</t>
  </si>
  <si>
    <t>Prenesené kompetencie</t>
  </si>
  <si>
    <t>Originálne kompetencie</t>
  </si>
  <si>
    <t>Celkom</t>
  </si>
  <si>
    <t>z toho</t>
  </si>
  <si>
    <t>Z toho</t>
  </si>
  <si>
    <t>PDFO</t>
  </si>
  <si>
    <t>Vlastné príjmy</t>
  </si>
  <si>
    <t>BV Normatívne     PK+PDFO</t>
  </si>
  <si>
    <t>Normatívne</t>
  </si>
  <si>
    <t>Osobitné     dotácie</t>
  </si>
  <si>
    <t>9</t>
  </si>
  <si>
    <t>9.1.</t>
  </si>
  <si>
    <t>Š k o l s k ý  ú r a d</t>
  </si>
  <si>
    <t>9.2.</t>
  </si>
  <si>
    <t>M a t e r s k é  š k o l y</t>
  </si>
  <si>
    <t>9.2.1.</t>
  </si>
  <si>
    <t xml:space="preserve">MŠ Budovateľská so ŠJ </t>
  </si>
  <si>
    <t>9.2.2.</t>
  </si>
  <si>
    <t>MŠ Družstevná so ŠJ</t>
  </si>
  <si>
    <t>9.2.3.</t>
  </si>
  <si>
    <t>MŠ Hollého so ŠJ</t>
  </si>
  <si>
    <t>9.2.4.</t>
  </si>
  <si>
    <t>MŠ Šaľa,Bernolákova</t>
  </si>
  <si>
    <t>9.2.5.</t>
  </si>
  <si>
    <t>MŠ Okružná so ŠJ</t>
  </si>
  <si>
    <t>9.2.6.</t>
  </si>
  <si>
    <t>MŠ 8.mája so ŠJ</t>
  </si>
  <si>
    <t>9.2.7.</t>
  </si>
  <si>
    <t>MŠ Šafárikova so ŠJ</t>
  </si>
  <si>
    <t>9.2.8.</t>
  </si>
  <si>
    <t>MŠ súkromná</t>
  </si>
  <si>
    <t>9.3.</t>
  </si>
  <si>
    <t>Z á k l a d n é   š k o l y</t>
  </si>
  <si>
    <t>9.3.1.</t>
  </si>
  <si>
    <t>ZŠ s MŠ Bern. so ŠJaŠKD</t>
  </si>
  <si>
    <t>9.3.2.</t>
  </si>
  <si>
    <t>ZŠ J. Hollého so ŠJ a ŠKD</t>
  </si>
  <si>
    <t>9.3.3.</t>
  </si>
  <si>
    <t>ZŠ s MŠ J. Murg.soŠJaŠKD</t>
  </si>
  <si>
    <t>9.3.4.</t>
  </si>
  <si>
    <t>ZŠ J.C.Hronsk.so ŠJaŠKD</t>
  </si>
  <si>
    <t>9.3.5.</t>
  </si>
  <si>
    <t>ZŠ Ľ. Štúra so ŠJ a ŠKD</t>
  </si>
  <si>
    <t>9.3.6.</t>
  </si>
  <si>
    <t xml:space="preserve">ZŠ s MŠ P.Pázm.VJMsŠKD </t>
  </si>
  <si>
    <t>9.4.</t>
  </si>
  <si>
    <t>Volnočasové aktivity</t>
  </si>
  <si>
    <t>9.4.1.</t>
  </si>
  <si>
    <t xml:space="preserve">ZUŠ Šaľa, Kukučínova </t>
  </si>
  <si>
    <t>9.4.2.</t>
  </si>
  <si>
    <t xml:space="preserve">CVČ Šaľa, Štefánikova </t>
  </si>
  <si>
    <t>Spojená škola, Krátka 11</t>
  </si>
  <si>
    <t>9.5.</t>
  </si>
  <si>
    <t>Osobitné dotácie</t>
  </si>
  <si>
    <t>na dopravu žiakov</t>
  </si>
  <si>
    <t>pre MŠ za predškolákov</t>
  </si>
  <si>
    <t>za vzdelávacie poukazy</t>
  </si>
  <si>
    <t>odchodné</t>
  </si>
  <si>
    <t>na školské potreby</t>
  </si>
  <si>
    <t>Škola v prírode</t>
  </si>
  <si>
    <t>sociálne znevýhodnený</t>
  </si>
  <si>
    <t>9.6.</t>
  </si>
  <si>
    <t>9.7.</t>
  </si>
  <si>
    <t>9.8.</t>
  </si>
  <si>
    <t>ŠJ - potraviny</t>
  </si>
  <si>
    <t>311 dary, sponzorstvo</t>
  </si>
  <si>
    <t>311 grant ZsE</t>
  </si>
  <si>
    <t>321 dotácia cyklotrasa</t>
  </si>
  <si>
    <t>DD - kapitálové výdavky</t>
  </si>
  <si>
    <t>450 fond rozvoja bývania, fond opráv</t>
  </si>
  <si>
    <t>221 správne poplatky evidencia obyvateľstva</t>
  </si>
  <si>
    <t>292 náhrada škody</t>
  </si>
  <si>
    <t>ŠJ potraviny zdroj 72f</t>
  </si>
  <si>
    <t>ŠJ potraviny zdroj 111</t>
  </si>
  <si>
    <t>212003 nájomné a réžie MeT</t>
  </si>
  <si>
    <t>311 grant Nórske fondy</t>
  </si>
  <si>
    <t>231 príjem z predaja bytov a priestorov</t>
  </si>
  <si>
    <t>MsKJJ</t>
  </si>
  <si>
    <t>Spolu všetky rozpočtové organizácie</t>
  </si>
  <si>
    <t>príjmy za potraviny od rodičov</t>
  </si>
  <si>
    <t>počiatočné stavy na účtoch ŠJ</t>
  </si>
  <si>
    <t>Výdavky z vlastných príjmov</t>
  </si>
  <si>
    <t>Spolu z účovníctva mesta</t>
  </si>
  <si>
    <t>SPOLU PRÍJMY A VÝDAVKY MESTA ŠAĽA</t>
  </si>
  <si>
    <t>Fin. op.</t>
  </si>
  <si>
    <t>Kapitálové</t>
  </si>
  <si>
    <t xml:space="preserve">Fin. op. </t>
  </si>
  <si>
    <t xml:space="preserve">Rekonštrukcia MK </t>
  </si>
  <si>
    <t>Rozpočet  výdavkov rozpočtu v RO</t>
  </si>
  <si>
    <t>Rozpočet príjmov rozpočtu RO</t>
  </si>
  <si>
    <t>133015 daň za rozvoj</t>
  </si>
  <si>
    <t>5.</t>
  </si>
  <si>
    <t>312 Projekt - Praxou k zamestnávaniu</t>
  </si>
  <si>
    <t>312 dotácia - výkon osobitného príjemcu</t>
  </si>
  <si>
    <t>312 dotácia MPSVaR na poskytovanie soc. služieb pre OSS</t>
  </si>
  <si>
    <t>312 dotácia MPSVaR na poskytovanie soc. služieb pre DD</t>
  </si>
  <si>
    <t>312 decentralizačná dotácia - matrika</t>
  </si>
  <si>
    <t>312 decentralizačná dotácia - školstvo</t>
  </si>
  <si>
    <t>312 decentralizačná dotácia - SÚ</t>
  </si>
  <si>
    <t>312 decentralizačná dotácia ŠFRB</t>
  </si>
  <si>
    <t>312 decentralizačná dot. správa pozem. komunik.</t>
  </si>
  <si>
    <t>312 decentralizačná dotácia na životné prostredie</t>
  </si>
  <si>
    <t>312 decentralizačná dotácia - register obyvateľov, reg. adries</t>
  </si>
  <si>
    <t>312 dotácia na spoloč. školský úrad</t>
  </si>
  <si>
    <t>312 dotácia cest., stravné, UP, vzd. pouk., štip.školu v prírode, lyžiarsky</t>
  </si>
  <si>
    <t>312 aktivačný príspevok</t>
  </si>
  <si>
    <t>312 audiovizuálny fond</t>
  </si>
  <si>
    <t>312 príjmy MsKS - Zlatá Priadka</t>
  </si>
  <si>
    <t>312 Dotácia Enviromentány fond</t>
  </si>
  <si>
    <t>312 NSK - šport, kultúra, propagácia, cestovný ruch</t>
  </si>
  <si>
    <t>učebnice</t>
  </si>
  <si>
    <t>vlastné príjmy 200</t>
  </si>
  <si>
    <t>312 dotácia MsKJJ</t>
  </si>
  <si>
    <t>240, 290 ostatné príjmy</t>
  </si>
  <si>
    <t>321 dotácia - lesopark, ZŠ Ľ. Štúra</t>
  </si>
  <si>
    <t>321 dotácia audiovizuálny fond</t>
  </si>
  <si>
    <t>Rekonštrukcia budovy DK Šaľa</t>
  </si>
  <si>
    <t>223 príjem jedáleň DD - potraviny</t>
  </si>
  <si>
    <t>240,292 ostatné príjmy školstvo (refundácie, vratky, dobropisy, poistné)</t>
  </si>
  <si>
    <t>292 ostatný príjem MsKJJ - refundácia telefón, vratky, dobropisy</t>
  </si>
  <si>
    <t>312 dotácie a granty školstvo ako vlastné príjmy</t>
  </si>
  <si>
    <t>312 dotácie voľby, referendum, sčítanie</t>
  </si>
  <si>
    <t>Program</t>
  </si>
  <si>
    <t>292 refundácie, kolky, ostatné príjmy, Nemčeková, vec. bremeno</t>
  </si>
  <si>
    <t>321 dotácia prenesené kompetencie - školstvo havárie</t>
  </si>
  <si>
    <t>222 pokuty MsP,  SÚ, ostatné</t>
  </si>
  <si>
    <t>500 kontokorentný úver, preklenovací úver</t>
  </si>
  <si>
    <t>223 vlastné príjmy škôl a školských zariadení z poplatkov</t>
  </si>
  <si>
    <t>211, 212 príjem z prenájmu v školských zariadeniach</t>
  </si>
  <si>
    <t>Rozpočet školstvo spolu</t>
  </si>
  <si>
    <t>200 Nedaňové príjmy</t>
  </si>
  <si>
    <t>300 Granty a transfery</t>
  </si>
  <si>
    <t>400 Príjmy z transakcií s finanč. akt. a pas.</t>
  </si>
  <si>
    <t>500 Prijaté úvery a návratné finančné výpomoci</t>
  </si>
  <si>
    <t>600 Bežné výdavky</t>
  </si>
  <si>
    <t>700 Kapitálové výdavky</t>
  </si>
  <si>
    <t>800 Výdavky z transakcií s finanč. akt. a pas.</t>
  </si>
  <si>
    <t>321 dotácia SMART</t>
  </si>
  <si>
    <t>13.</t>
  </si>
  <si>
    <t>456 mesto ako osobitný príjemca,transparentný účet</t>
  </si>
  <si>
    <t>Podprog 13.10.</t>
  </si>
  <si>
    <t>Podprog 13.9</t>
  </si>
  <si>
    <t>Pomoc Ukrajine</t>
  </si>
  <si>
    <t>312 dotácia Ukrajina</t>
  </si>
  <si>
    <t>rozvojové projekty</t>
  </si>
  <si>
    <t xml:space="preserve">321 grant JUVAMEN  </t>
  </si>
  <si>
    <t xml:space="preserve">312 dotácia MPSVaR SR </t>
  </si>
  <si>
    <t>Nízkoprahové denné centrum</t>
  </si>
  <si>
    <t>SPOLU</t>
  </si>
  <si>
    <t>311 grant SMART</t>
  </si>
  <si>
    <t>311 grant kybernetická bezpečnosť</t>
  </si>
  <si>
    <t>321 dotácia predstaničný priestor</t>
  </si>
  <si>
    <t>KV školstvo</t>
  </si>
  <si>
    <t>špecifiká - UA</t>
  </si>
  <si>
    <t>11.</t>
  </si>
  <si>
    <t>312 Dotácia na zmiernenie inflácie</t>
  </si>
  <si>
    <t>321 dotácia ihriská</t>
  </si>
  <si>
    <t>Deň Ukrajiny</t>
  </si>
  <si>
    <t>plnenie 2024</t>
  </si>
  <si>
    <t>skutočnosť 2024</t>
  </si>
  <si>
    <t>plnenie rozpočtu 2024</t>
  </si>
  <si>
    <t>292 parkovné</t>
  </si>
  <si>
    <t>321 dotácia NsK</t>
  </si>
  <si>
    <t>Bežné výdavky - projekty</t>
  </si>
  <si>
    <t>15.</t>
  </si>
  <si>
    <t>12.</t>
  </si>
  <si>
    <t>Cintorín - kolumbárium</t>
  </si>
  <si>
    <t>Pedagogický asistent</t>
  </si>
  <si>
    <t>Školský podporný tím</t>
  </si>
  <si>
    <t>Nepedagog. zamest. pomocný vychovávateľ</t>
  </si>
  <si>
    <t>321 dotácia ČSOB - cykloboxy</t>
  </si>
  <si>
    <t>mimoriadne výsledky</t>
  </si>
  <si>
    <t>plnenie 2025</t>
  </si>
  <si>
    <t>skutočnosť 2025</t>
  </si>
  <si>
    <t>plnenie rozpočtu 2025</t>
  </si>
  <si>
    <t>321 grant MDaV SR - Plán obnovy ZŠ Bernolákova</t>
  </si>
  <si>
    <t>500 úver z Enviromentálneho fondu</t>
  </si>
  <si>
    <t>DK - premietacie zariadenie</t>
  </si>
  <si>
    <t>Amfiteáter - rekonštrukcia sedenia</t>
  </si>
  <si>
    <t>9.</t>
  </si>
  <si>
    <t>výchovno vzdelávací proces</t>
  </si>
  <si>
    <t xml:space="preserve">456 zábezpeka </t>
  </si>
  <si>
    <t>133004 daň za predajné automaty</t>
  </si>
  <si>
    <t>ZŠ J.C. Hronského - rek. šport. areálu</t>
  </si>
  <si>
    <t>SMART</t>
  </si>
  <si>
    <t>312 Dotácia na odmeny zamestnancov</t>
  </si>
  <si>
    <t>311 grant cyklotrasa</t>
  </si>
  <si>
    <t>špecifiká - tarifné platy</t>
  </si>
  <si>
    <t>321 grant školy</t>
  </si>
  <si>
    <t>rozpočet 2026</t>
  </si>
  <si>
    <t>plnenie rozpočtu 2026</t>
  </si>
  <si>
    <t>investície 2026</t>
  </si>
  <si>
    <t>čerpanie 2026</t>
  </si>
  <si>
    <t>312 Švajčiarsky finančný mechanizmus Šaľa - Zdravé mesto</t>
  </si>
  <si>
    <t>321 dotácia Zariadenie podporovaného bývania Jazerná ul.</t>
  </si>
  <si>
    <t>321 Fond na podporu cestovného ruchu - rekonštrukcia kaplnky</t>
  </si>
  <si>
    <t>321 Švajčiarsky finančný mechanizmus Šaľa - Zdravé mesto</t>
  </si>
  <si>
    <t>Zariadenie podporovaného bývania</t>
  </si>
  <si>
    <t>Nákup drägera</t>
  </si>
  <si>
    <t>Cyklotrasa Šaľa - Diakovce</t>
  </si>
  <si>
    <t>Rekonštrukcia MK pri stanici</t>
  </si>
  <si>
    <t>7.</t>
  </si>
  <si>
    <t>ZŠ Horná - rek. soc. zariadení 4 a 5 etapa</t>
  </si>
  <si>
    <t>KV školstvo rekonštrukcia - rýchle energetické opatrenia</t>
  </si>
  <si>
    <t>10.</t>
  </si>
  <si>
    <t>rekonštrukcia plavárne</t>
  </si>
  <si>
    <t>rekonštrukcia kaplnky Feketeházy</t>
  </si>
  <si>
    <t>Šaľa - Zdravé mesto (švajčiarsky fin. mechanizmus)</t>
  </si>
  <si>
    <t>2026</t>
  </si>
  <si>
    <t>Rozpočet 2026</t>
  </si>
  <si>
    <t>špecifiká - vakcíny</t>
  </si>
  <si>
    <t>jazykový kurz</t>
  </si>
  <si>
    <t>Lyžiarsky výcvik</t>
  </si>
  <si>
    <t>312 dotácia SPAK - EKO</t>
  </si>
  <si>
    <t>321 dotácia na školstvo - rekonštrukcie a opravy rýchle energ. Opatrenia</t>
  </si>
  <si>
    <t>vlastné príjmy 320</t>
  </si>
  <si>
    <t>vlastné príjmy 310</t>
  </si>
  <si>
    <t>Výdavky</t>
  </si>
  <si>
    <t>rozpočet výdavkov 2026</t>
  </si>
  <si>
    <t>rozpočet príjmov 2026</t>
  </si>
  <si>
    <t>cudzie zdroje</t>
  </si>
  <si>
    <t>vlastné zdroje</t>
  </si>
  <si>
    <t>úver</t>
  </si>
  <si>
    <t>kapitálové granty</t>
  </si>
  <si>
    <t>bežné granty</t>
  </si>
  <si>
    <t>účelovo viazané prostriedky z predch.obdobia</t>
  </si>
  <si>
    <t>bežné príjmy</t>
  </si>
  <si>
    <t>kapitálové príjmy</t>
  </si>
  <si>
    <t>rezervný fond, fond opráv</t>
  </si>
  <si>
    <t>MsP - dräger</t>
  </si>
  <si>
    <t>rekonštrukcia chodníkov</t>
  </si>
  <si>
    <t>cyklotrasa Diakovce</t>
  </si>
  <si>
    <t>ZŠ J. Murgaša - rekonštrukcia soc. zariadení</t>
  </si>
  <si>
    <t>ZŠ J.C.Hronského - rekonštrukcia šport. areálu</t>
  </si>
  <si>
    <t>rekonštrukcie školstvo - Rýchle energetické opatrania</t>
  </si>
  <si>
    <t>Rekonštrukcia plavárne</t>
  </si>
  <si>
    <t>Rekonštrukcia kaplnky Feketeházy</t>
  </si>
  <si>
    <t>Šaľa - Zdravé mesto</t>
  </si>
  <si>
    <t>Kolumbárium</t>
  </si>
  <si>
    <t>Finančné operácie</t>
  </si>
  <si>
    <t>ŠFRB</t>
  </si>
  <si>
    <t>splátky autá Envirofond</t>
  </si>
  <si>
    <t>komerčné úvery</t>
  </si>
  <si>
    <t>KTK</t>
  </si>
  <si>
    <t>bežný rozpočet</t>
  </si>
  <si>
    <t>kapitálový rozpočet</t>
  </si>
  <si>
    <t>finančné operácie</t>
  </si>
  <si>
    <t xml:space="preserve">MŠ 8. mája - altánok </t>
  </si>
  <si>
    <t>vnútromeská cyklotrasa</t>
  </si>
  <si>
    <t>MŠ Družstevná</t>
  </si>
  <si>
    <t>MŠ Okružná</t>
  </si>
  <si>
    <t>MŠ Šafárika</t>
  </si>
  <si>
    <t>ZŠ Hollého</t>
  </si>
  <si>
    <t>ZUŠ</t>
  </si>
  <si>
    <t>ZŠ Murgaša</t>
  </si>
  <si>
    <t>rekonštrukcia sedenia na amfiteátri</t>
  </si>
  <si>
    <t>Tabuľka č. 4 Úprava rozpočtu investícií na rok 2026</t>
  </si>
  <si>
    <t>Tabuľka č. 5  Upravený rozpočet príjmov a výdavkov rozpočtových organizácií a spolu mesta Šaľa na rok 2026</t>
  </si>
  <si>
    <t>Rozpočet 2026 po 1. úprave vrátane RO</t>
  </si>
  <si>
    <t>plnenie 04/2026</t>
  </si>
  <si>
    <t>2. úprava rozpočtu 2026</t>
  </si>
  <si>
    <t>Rozpočet 2026 po 2. úprave</t>
  </si>
  <si>
    <t>skutočnosť 04/2026</t>
  </si>
  <si>
    <t>Schválený rozpočet 2026</t>
  </si>
  <si>
    <t>6.</t>
  </si>
  <si>
    <t>Popolodzemné kontajnery</t>
  </si>
  <si>
    <t>Vnútromestská cyklotrasa</t>
  </si>
  <si>
    <t>MŠ Družstevná - rýchle energetické opatrenia</t>
  </si>
  <si>
    <t>MŠ Okružná - rýchle energetické opatrenia</t>
  </si>
  <si>
    <t>MŠ 8. mája - altánok</t>
  </si>
  <si>
    <t>MŠ Šafárika - rýchle energetické opatrenia</t>
  </si>
  <si>
    <t>ZŠ Hollého - rýchle energetické opatrenia</t>
  </si>
  <si>
    <t>ZŠ Horná - rýchle energetické opatrenia</t>
  </si>
  <si>
    <t>ZUŠ - rýchle energetické opatrenia</t>
  </si>
  <si>
    <t>FŠ Veča - kosačka</t>
  </si>
  <si>
    <t>FŠ Šaľa - kosačka</t>
  </si>
  <si>
    <t>popolodzemnéc kontajnery</t>
  </si>
  <si>
    <t>312 dotácia MFSR</t>
  </si>
  <si>
    <t xml:space="preserve">321 dotácia MFSR </t>
  </si>
  <si>
    <t>312 dotácia MVSR</t>
  </si>
  <si>
    <t>312 dotácia ihriská</t>
  </si>
  <si>
    <t>311 grant DD</t>
  </si>
  <si>
    <t>POO - profes. roz. pedag. 3P01</t>
  </si>
  <si>
    <t>3.</t>
  </si>
  <si>
    <t>Výkup pozemkov</t>
  </si>
  <si>
    <t>Tabuľka č. 3 Sumár 2. úpravy rozpočtu príjmov a výdavkov v roku 2026</t>
  </si>
  <si>
    <t>Tabuľka č. 1 Návrh na 2. úpravu rozpočtu príjmov v roku 2026</t>
  </si>
  <si>
    <t xml:space="preserve">  Tabuľka č. 2 Návrh na 2. úpravu rozpočtu výdavkov v roku 2026 </t>
  </si>
  <si>
    <t>Tabuľka č. 6  Zdroje krytia výdavkov rozpočtu mesta v roku 2026 po 2. úprave</t>
  </si>
  <si>
    <t>321 grant PSS</t>
  </si>
  <si>
    <t>Ihrisko - Oživenie vnútrobloku Hurbanova- 1. mája - M.M. Hodžu</t>
  </si>
  <si>
    <t xml:space="preserve">rekonštrukcia cesty </t>
  </si>
  <si>
    <t>Cintorín - rekonštrukcia chodníkov, vrátane PD</t>
  </si>
  <si>
    <t>Cintorín - rekonštrukcia chodníkov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</si>
</sst>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8" x14ac:knownFonts="1"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2"/>
      <name val="Arial CE"/>
      <family val="2"/>
      <charset val="238"/>
    </font>
    <font>
      <sz val="7"/>
      <name val="Arial"/>
      <family val="2"/>
      <charset val="238"/>
    </font>
    <font>
      <b/>
      <u/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sz val="8"/>
      <color indexed="8"/>
      <name val="Tahoma"/>
      <family val="2"/>
      <charset val="1"/>
    </font>
    <font>
      <sz val="10"/>
      <name val="Arial CE"/>
      <family val="2"/>
      <charset val="238"/>
    </font>
    <font>
      <b/>
      <sz val="8"/>
      <color indexed="8"/>
      <name val="Tahoma"/>
      <family val="2"/>
      <charset val="1"/>
    </font>
    <font>
      <sz val="11"/>
      <name val="Calibri"/>
      <family val="2"/>
      <charset val="238"/>
    </font>
    <font>
      <b/>
      <sz val="12"/>
      <name val="Arial"/>
      <family val="2"/>
      <charset val="238"/>
    </font>
    <font>
      <sz val="8"/>
      <name val="Arial CE"/>
      <family val="2"/>
      <charset val="238"/>
    </font>
    <font>
      <sz val="10"/>
      <color indexed="10"/>
      <name val="Arial"/>
      <family val="2"/>
      <charset val="238"/>
    </font>
    <font>
      <i/>
      <sz val="10"/>
      <name val="Arial CE"/>
      <family val="2"/>
      <charset val="238"/>
    </font>
    <font>
      <i/>
      <sz val="10"/>
      <color indexed="10"/>
      <name val="Arial"/>
      <family val="2"/>
      <charset val="238"/>
    </font>
    <font>
      <i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9"/>
      <name val="Arial CE"/>
      <family val="2"/>
      <charset val="238"/>
    </font>
    <font>
      <b/>
      <i/>
      <sz val="11"/>
      <name val="Arial CE"/>
      <family val="2"/>
      <charset val="238"/>
    </font>
    <font>
      <b/>
      <i/>
      <sz val="9"/>
      <name val="Arial CE"/>
      <family val="2"/>
      <charset val="238"/>
    </font>
    <font>
      <i/>
      <sz val="12"/>
      <name val="Arial Narrow"/>
      <family val="2"/>
      <charset val="238"/>
    </font>
    <font>
      <b/>
      <i/>
      <sz val="10"/>
      <name val="Arial CE"/>
      <family val="2"/>
      <charset val="238"/>
    </font>
    <font>
      <i/>
      <sz val="11"/>
      <name val="Arial Narrow"/>
      <family val="2"/>
      <charset val="238"/>
    </font>
    <font>
      <i/>
      <sz val="12"/>
      <color indexed="8"/>
      <name val="Arial Narrow"/>
      <family val="2"/>
      <charset val="238"/>
    </font>
    <font>
      <i/>
      <sz val="11"/>
      <color indexed="8"/>
      <name val="Arial Narrow"/>
      <family val="2"/>
      <charset val="238"/>
    </font>
    <font>
      <b/>
      <i/>
      <sz val="9"/>
      <name val="Arial"/>
      <family val="2"/>
      <charset val="238"/>
    </font>
    <font>
      <i/>
      <sz val="9"/>
      <name val="Arial Narrow"/>
      <family val="2"/>
      <charset val="238"/>
    </font>
    <font>
      <b/>
      <sz val="9"/>
      <name val="Arial"/>
      <family val="2"/>
      <charset val="238"/>
    </font>
    <font>
      <b/>
      <i/>
      <sz val="11"/>
      <name val="Arial Narrow"/>
      <family val="2"/>
      <charset val="238"/>
    </font>
    <font>
      <sz val="12"/>
      <name val="Arial CE"/>
      <family val="2"/>
      <charset val="238"/>
    </font>
    <font>
      <sz val="12"/>
      <name val="Arial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sz val="14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6"/>
      <name val="Arial CE"/>
      <family val="2"/>
      <charset val="238"/>
    </font>
    <font>
      <b/>
      <sz val="14"/>
      <color theme="1"/>
      <name val="Arial"/>
      <family val="2"/>
      <charset val="238"/>
    </font>
    <font>
      <sz val="11"/>
      <name val="Arial CE"/>
      <family val="2"/>
      <charset val="238"/>
    </font>
    <font>
      <b/>
      <i/>
      <sz val="12"/>
      <name val="Arial CE"/>
      <family val="2"/>
      <charset val="238"/>
    </font>
    <font>
      <b/>
      <u/>
      <sz val="14"/>
      <name val="Arial"/>
      <family val="2"/>
      <charset val="238"/>
    </font>
    <font>
      <b/>
      <sz val="22"/>
      <name val="Arial"/>
      <family val="2"/>
      <charset val="238"/>
    </font>
    <font>
      <sz val="11"/>
      <name val="Arial"/>
      <family val="2"/>
      <charset val="238"/>
    </font>
    <font>
      <sz val="16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6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color theme="1"/>
      <name val="Times New Roman"/>
      <family val="2"/>
      <charset val="238"/>
    </font>
    <font>
      <sz val="14"/>
      <color indexed="8"/>
      <name val="Calibri"/>
      <family val="2"/>
      <charset val="238"/>
    </font>
    <font>
      <b/>
      <i/>
      <sz val="12"/>
      <name val="Arial"/>
      <family val="2"/>
      <charset val="238"/>
    </font>
    <font>
      <b/>
      <sz val="9"/>
      <name val="Arial CE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 CE"/>
      <family val="2"/>
      <charset val="238"/>
    </font>
    <font>
      <sz val="9"/>
      <name val="Arial"/>
      <family val="2"/>
      <charset val="238"/>
    </font>
    <font>
      <b/>
      <i/>
      <sz val="9"/>
      <color rgb="FFFF0000"/>
      <name val="Arial CE"/>
      <family val="2"/>
      <charset val="238"/>
    </font>
    <font>
      <b/>
      <sz val="14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i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4"/>
      <color indexed="8"/>
      <name val="Arial"/>
      <family val="2"/>
      <charset val="238"/>
    </font>
    <font>
      <sz val="9"/>
      <color rgb="FF0A0A0A"/>
      <name val="Trebuchet MS"/>
      <family val="2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53"/>
        <bgColor indexed="52"/>
      </patternFill>
    </fill>
    <fill>
      <patternFill patternType="solid">
        <fgColor indexed="13"/>
        <bgColor indexed="34"/>
      </patternFill>
    </fill>
    <fill>
      <patternFill patternType="solid">
        <fgColor indexed="50"/>
        <bgColor indexed="51"/>
      </patternFill>
    </fill>
    <fill>
      <patternFill patternType="solid">
        <fgColor indexed="20"/>
        <bgColor indexed="36"/>
      </patternFill>
    </fill>
    <fill>
      <patternFill patternType="solid">
        <fgColor indexed="9"/>
        <bgColor indexed="26"/>
      </patternFill>
    </fill>
    <fill>
      <patternFill patternType="solid">
        <fgColor indexed="57"/>
        <bgColor indexed="26"/>
      </patternFill>
    </fill>
    <fill>
      <patternFill patternType="solid">
        <fgColor indexed="36"/>
        <bgColor indexed="26"/>
      </patternFill>
    </fill>
    <fill>
      <patternFill patternType="solid">
        <fgColor indexed="53"/>
        <bgColor indexed="26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26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8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61" fillId="0" borderId="0"/>
  </cellStyleXfs>
  <cellXfs count="999">
    <xf numFmtId="0" fontId="0" fillId="0" borderId="0" xfId="0"/>
    <xf numFmtId="3" fontId="0" fillId="0" borderId="0" xfId="0" applyNumberFormat="1"/>
    <xf numFmtId="0" fontId="0" fillId="0" borderId="1" xfId="0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right"/>
    </xf>
    <xf numFmtId="3" fontId="2" fillId="2" borderId="2" xfId="0" applyNumberFormat="1" applyFont="1" applyFill="1" applyBorder="1" applyAlignment="1">
      <alignment horizontal="right"/>
    </xf>
    <xf numFmtId="0" fontId="4" fillId="3" borderId="3" xfId="0" applyFont="1" applyFill="1" applyBorder="1"/>
    <xf numFmtId="3" fontId="5" fillId="3" borderId="3" xfId="0" applyNumberFormat="1" applyFont="1" applyFill="1" applyBorder="1" applyAlignment="1">
      <alignment horizontal="right"/>
    </xf>
    <xf numFmtId="3" fontId="5" fillId="3" borderId="4" xfId="0" applyNumberFormat="1" applyFont="1" applyFill="1" applyBorder="1" applyAlignment="1">
      <alignment horizontal="right"/>
    </xf>
    <xf numFmtId="0" fontId="6" fillId="0" borderId="5" xfId="0" applyFont="1" applyBorder="1"/>
    <xf numFmtId="3" fontId="7" fillId="0" borderId="5" xfId="0" applyNumberFormat="1" applyFont="1" applyBorder="1"/>
    <xf numFmtId="3" fontId="7" fillId="0" borderId="6" xfId="0" applyNumberFormat="1" applyFont="1" applyBorder="1"/>
    <xf numFmtId="0" fontId="0" fillId="0" borderId="5" xfId="0" applyBorder="1"/>
    <xf numFmtId="3" fontId="0" fillId="0" borderId="7" xfId="0" applyNumberFormat="1" applyBorder="1"/>
    <xf numFmtId="0" fontId="6" fillId="0" borderId="8" xfId="0" applyFont="1" applyBorder="1"/>
    <xf numFmtId="3" fontId="7" fillId="0" borderId="8" xfId="0" applyNumberFormat="1" applyFont="1" applyBorder="1"/>
    <xf numFmtId="0" fontId="0" fillId="0" borderId="7" xfId="0" applyBorder="1"/>
    <xf numFmtId="3" fontId="0" fillId="0" borderId="5" xfId="0" applyNumberFormat="1" applyBorder="1"/>
    <xf numFmtId="0" fontId="11" fillId="0" borderId="5" xfId="0" applyFont="1" applyBorder="1"/>
    <xf numFmtId="3" fontId="0" fillId="0" borderId="6" xfId="0" applyNumberFormat="1" applyBorder="1"/>
    <xf numFmtId="3" fontId="0" fillId="0" borderId="9" xfId="0" applyNumberFormat="1" applyBorder="1"/>
    <xf numFmtId="3" fontId="13" fillId="0" borderId="5" xfId="0" applyNumberFormat="1" applyFont="1" applyBorder="1"/>
    <xf numFmtId="0" fontId="4" fillId="3" borderId="10" xfId="0" applyFont="1" applyFill="1" applyBorder="1"/>
    <xf numFmtId="3" fontId="5" fillId="3" borderId="10" xfId="0" applyNumberFormat="1" applyFont="1" applyFill="1" applyBorder="1" applyAlignment="1">
      <alignment horizontal="right"/>
    </xf>
    <xf numFmtId="3" fontId="5" fillId="3" borderId="11" xfId="0" applyNumberFormat="1" applyFont="1" applyFill="1" applyBorder="1" applyAlignment="1">
      <alignment horizontal="right"/>
    </xf>
    <xf numFmtId="4" fontId="0" fillId="0" borderId="5" xfId="0" applyNumberFormat="1" applyBorder="1"/>
    <xf numFmtId="3" fontId="13" fillId="0" borderId="7" xfId="0" applyNumberFormat="1" applyFont="1" applyBorder="1"/>
    <xf numFmtId="3" fontId="0" fillId="4" borderId="5" xfId="0" applyNumberFormat="1" applyFill="1" applyBorder="1"/>
    <xf numFmtId="0" fontId="0" fillId="0" borderId="5" xfId="0" applyBorder="1" applyAlignment="1">
      <alignment horizontal="left"/>
    </xf>
    <xf numFmtId="0" fontId="6" fillId="0" borderId="8" xfId="0" applyFont="1" applyBorder="1" applyAlignment="1">
      <alignment horizontal="left"/>
    </xf>
    <xf numFmtId="3" fontId="7" fillId="0" borderId="12" xfId="0" applyNumberFormat="1" applyFont="1" applyBorder="1"/>
    <xf numFmtId="4" fontId="0" fillId="4" borderId="5" xfId="0" applyNumberFormat="1" applyFill="1" applyBorder="1"/>
    <xf numFmtId="3" fontId="1" fillId="0" borderId="5" xfId="0" applyNumberFormat="1" applyFont="1" applyBorder="1"/>
    <xf numFmtId="3" fontId="0" fillId="0" borderId="6" xfId="0" applyNumberFormat="1" applyBorder="1" applyAlignment="1">
      <alignment horizontal="right"/>
    </xf>
    <xf numFmtId="0" fontId="0" fillId="0" borderId="13" xfId="0" applyBorder="1" applyAlignment="1">
      <alignment horizontal="left"/>
    </xf>
    <xf numFmtId="3" fontId="0" fillId="0" borderId="14" xfId="0" applyNumberFormat="1" applyBorder="1"/>
    <xf numFmtId="3" fontId="0" fillId="0" borderId="13" xfId="0" applyNumberFormat="1" applyBorder="1"/>
    <xf numFmtId="3" fontId="4" fillId="3" borderId="3" xfId="0" applyNumberFormat="1" applyFont="1" applyFill="1" applyBorder="1"/>
    <xf numFmtId="0" fontId="0" fillId="0" borderId="7" xfId="0" applyBorder="1" applyAlignment="1">
      <alignment horizontal="left"/>
    </xf>
    <xf numFmtId="3" fontId="4" fillId="3" borderId="10" xfId="0" applyNumberFormat="1" applyFont="1" applyFill="1" applyBorder="1" applyAlignment="1">
      <alignment horizontal="left"/>
    </xf>
    <xf numFmtId="3" fontId="5" fillId="3" borderId="9" xfId="0" applyNumberFormat="1" applyFont="1" applyFill="1" applyBorder="1" applyAlignment="1">
      <alignment horizontal="right"/>
    </xf>
    <xf numFmtId="3" fontId="1" fillId="0" borderId="13" xfId="0" applyNumberFormat="1" applyFont="1" applyBorder="1"/>
    <xf numFmtId="0" fontId="14" fillId="2" borderId="1" xfId="0" applyFont="1" applyFill="1" applyBorder="1" applyAlignment="1">
      <alignment horizontal="left"/>
    </xf>
    <xf numFmtId="3" fontId="14" fillId="2" borderId="1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left"/>
    </xf>
    <xf numFmtId="3" fontId="2" fillId="5" borderId="1" xfId="0" applyNumberFormat="1" applyFont="1" applyFill="1" applyBorder="1" applyAlignment="1">
      <alignment horizontal="right"/>
    </xf>
    <xf numFmtId="3" fontId="2" fillId="5" borderId="2" xfId="0" applyNumberFormat="1" applyFont="1" applyFill="1" applyBorder="1" applyAlignment="1">
      <alignment horizontal="right"/>
    </xf>
    <xf numFmtId="0" fontId="15" fillId="0" borderId="0" xfId="0" applyFont="1" applyAlignment="1">
      <alignment horizontal="left"/>
    </xf>
    <xf numFmtId="0" fontId="1" fillId="6" borderId="0" xfId="1" applyFill="1"/>
    <xf numFmtId="0" fontId="16" fillId="6" borderId="0" xfId="1" applyFont="1" applyFill="1"/>
    <xf numFmtId="3" fontId="16" fillId="6" borderId="0" xfId="1" applyNumberFormat="1" applyFont="1" applyFill="1"/>
    <xf numFmtId="3" fontId="1" fillId="6" borderId="0" xfId="1" applyNumberFormat="1" applyFill="1"/>
    <xf numFmtId="0" fontId="17" fillId="6" borderId="0" xfId="1" applyFont="1" applyFill="1"/>
    <xf numFmtId="3" fontId="14" fillId="6" borderId="0" xfId="1" applyNumberFormat="1" applyFont="1" applyFill="1"/>
    <xf numFmtId="0" fontId="18" fillId="6" borderId="0" xfId="1" applyFont="1" applyFill="1"/>
    <xf numFmtId="0" fontId="19" fillId="6" borderId="0" xfId="1" applyFont="1" applyFill="1"/>
    <xf numFmtId="3" fontId="18" fillId="6" borderId="0" xfId="1" applyNumberFormat="1" applyFont="1" applyFill="1"/>
    <xf numFmtId="3" fontId="19" fillId="6" borderId="0" xfId="1" applyNumberFormat="1" applyFont="1" applyFill="1"/>
    <xf numFmtId="3" fontId="1" fillId="6" borderId="0" xfId="1" applyNumberFormat="1" applyFill="1" applyAlignment="1">
      <alignment horizontal="center"/>
    </xf>
    <xf numFmtId="0" fontId="11" fillId="6" borderId="0" xfId="1" applyFont="1" applyFill="1"/>
    <xf numFmtId="0" fontId="20" fillId="6" borderId="0" xfId="1" applyFont="1" applyFill="1"/>
    <xf numFmtId="0" fontId="7" fillId="6" borderId="0" xfId="1" applyFont="1" applyFill="1"/>
    <xf numFmtId="0" fontId="11" fillId="6" borderId="15" xfId="1" applyFont="1" applyFill="1" applyBorder="1"/>
    <xf numFmtId="0" fontId="11" fillId="6" borderId="16" xfId="1" applyFont="1" applyFill="1" applyBorder="1"/>
    <xf numFmtId="3" fontId="11" fillId="6" borderId="16" xfId="1" applyNumberFormat="1" applyFont="1" applyFill="1" applyBorder="1"/>
    <xf numFmtId="0" fontId="1" fillId="6" borderId="16" xfId="1" applyFill="1" applyBorder="1"/>
    <xf numFmtId="3" fontId="11" fillId="6" borderId="16" xfId="1" applyNumberFormat="1" applyFont="1" applyFill="1" applyBorder="1" applyAlignment="1">
      <alignment horizontal="right"/>
    </xf>
    <xf numFmtId="3" fontId="1" fillId="6" borderId="16" xfId="1" applyNumberFormat="1" applyFill="1" applyBorder="1"/>
    <xf numFmtId="0" fontId="23" fillId="6" borderId="17" xfId="1" applyFont="1" applyFill="1" applyBorder="1" applyAlignment="1">
      <alignment horizontal="left"/>
    </xf>
    <xf numFmtId="0" fontId="24" fillId="6" borderId="18" xfId="1" applyFont="1" applyFill="1" applyBorder="1"/>
    <xf numFmtId="3" fontId="1" fillId="6" borderId="17" xfId="1" applyNumberFormat="1" applyFill="1" applyBorder="1"/>
    <xf numFmtId="3" fontId="1" fillId="6" borderId="19" xfId="1" applyNumberFormat="1" applyFill="1" applyBorder="1"/>
    <xf numFmtId="3" fontId="1" fillId="6" borderId="18" xfId="1" applyNumberFormat="1" applyFill="1" applyBorder="1"/>
    <xf numFmtId="3" fontId="1" fillId="6" borderId="20" xfId="1" applyNumberFormat="1" applyFill="1" applyBorder="1"/>
    <xf numFmtId="3" fontId="1" fillId="6" borderId="21" xfId="1" applyNumberFormat="1" applyFill="1" applyBorder="1"/>
    <xf numFmtId="0" fontId="25" fillId="6" borderId="0" xfId="1" applyFont="1" applyFill="1"/>
    <xf numFmtId="0" fontId="23" fillId="6" borderId="22" xfId="1" applyFont="1" applyFill="1" applyBorder="1" applyAlignment="1">
      <alignment horizontal="left"/>
    </xf>
    <xf numFmtId="3" fontId="1" fillId="6" borderId="22" xfId="1" applyNumberFormat="1" applyFill="1" applyBorder="1"/>
    <xf numFmtId="3" fontId="1" fillId="6" borderId="23" xfId="1" applyNumberFormat="1" applyFill="1" applyBorder="1"/>
    <xf numFmtId="3" fontId="1" fillId="6" borderId="24" xfId="1" applyNumberFormat="1" applyFill="1" applyBorder="1"/>
    <xf numFmtId="3" fontId="1" fillId="6" borderId="25" xfId="1" applyNumberFormat="1" applyFill="1" applyBorder="1"/>
    <xf numFmtId="3" fontId="1" fillId="6" borderId="26" xfId="1" applyNumberFormat="1" applyFill="1" applyBorder="1"/>
    <xf numFmtId="0" fontId="24" fillId="6" borderId="20" xfId="1" applyFont="1" applyFill="1" applyBorder="1"/>
    <xf numFmtId="3" fontId="11" fillId="6" borderId="0" xfId="1" applyNumberFormat="1" applyFont="1" applyFill="1" applyAlignment="1">
      <alignment horizontal="right"/>
    </xf>
    <xf numFmtId="0" fontId="24" fillId="6" borderId="6" xfId="1" applyFont="1" applyFill="1" applyBorder="1"/>
    <xf numFmtId="0" fontId="24" fillId="6" borderId="27" xfId="1" applyFont="1" applyFill="1" applyBorder="1"/>
    <xf numFmtId="3" fontId="1" fillId="6" borderId="28" xfId="1" applyNumberFormat="1" applyFill="1" applyBorder="1"/>
    <xf numFmtId="3" fontId="1" fillId="6" borderId="29" xfId="1" applyNumberFormat="1" applyFill="1" applyBorder="1"/>
    <xf numFmtId="3" fontId="1" fillId="6" borderId="27" xfId="1" applyNumberFormat="1" applyFill="1" applyBorder="1"/>
    <xf numFmtId="0" fontId="6" fillId="6" borderId="0" xfId="1" applyFont="1" applyFill="1"/>
    <xf numFmtId="0" fontId="26" fillId="6" borderId="20" xfId="1" applyFont="1" applyFill="1" applyBorder="1"/>
    <xf numFmtId="3" fontId="6" fillId="6" borderId="0" xfId="1" applyNumberFormat="1" applyFont="1" applyFill="1" applyAlignment="1">
      <alignment horizontal="right"/>
    </xf>
    <xf numFmtId="0" fontId="27" fillId="6" borderId="20" xfId="1" applyFont="1" applyFill="1" applyBorder="1"/>
    <xf numFmtId="0" fontId="28" fillId="6" borderId="27" xfId="1" applyFont="1" applyFill="1" applyBorder="1"/>
    <xf numFmtId="3" fontId="1" fillId="6" borderId="30" xfId="1" applyNumberFormat="1" applyFill="1" applyBorder="1"/>
    <xf numFmtId="0" fontId="1" fillId="6" borderId="17" xfId="1" applyFill="1" applyBorder="1"/>
    <xf numFmtId="0" fontId="1" fillId="6" borderId="20" xfId="1" applyFill="1" applyBorder="1"/>
    <xf numFmtId="0" fontId="1" fillId="6" borderId="22" xfId="1" applyFill="1" applyBorder="1"/>
    <xf numFmtId="0" fontId="1" fillId="6" borderId="27" xfId="1" applyFill="1" applyBorder="1"/>
    <xf numFmtId="0" fontId="1" fillId="0" borderId="0" xfId="1"/>
    <xf numFmtId="3" fontId="1" fillId="0" borderId="0" xfId="1" applyNumberFormat="1"/>
    <xf numFmtId="0" fontId="6" fillId="0" borderId="3" xfId="1" applyFont="1" applyBorder="1"/>
    <xf numFmtId="3" fontId="7" fillId="0" borderId="3" xfId="1" applyNumberFormat="1" applyFont="1" applyBorder="1" applyAlignment="1">
      <alignment horizontal="center"/>
    </xf>
    <xf numFmtId="0" fontId="2" fillId="0" borderId="10" xfId="1" applyFont="1" applyBorder="1"/>
    <xf numFmtId="3" fontId="33" fillId="0" borderId="10" xfId="1" applyNumberFormat="1" applyFont="1" applyBorder="1"/>
    <xf numFmtId="3" fontId="34" fillId="0" borderId="10" xfId="1" applyNumberFormat="1" applyFont="1" applyBorder="1"/>
    <xf numFmtId="0" fontId="2" fillId="0" borderId="31" xfId="1" applyFont="1" applyBorder="1"/>
    <xf numFmtId="3" fontId="33" fillId="0" borderId="31" xfId="1" applyNumberFormat="1" applyFont="1" applyBorder="1"/>
    <xf numFmtId="3" fontId="34" fillId="0" borderId="31" xfId="1" applyNumberFormat="1" applyFont="1" applyBorder="1"/>
    <xf numFmtId="0" fontId="6" fillId="0" borderId="0" xfId="1" applyFont="1"/>
    <xf numFmtId="0" fontId="35" fillId="0" borderId="3" xfId="1" applyFont="1" applyBorder="1"/>
    <xf numFmtId="3" fontId="36" fillId="0" borderId="3" xfId="1" applyNumberFormat="1" applyFont="1" applyBorder="1"/>
    <xf numFmtId="3" fontId="37" fillId="0" borderId="3" xfId="1" applyNumberFormat="1" applyFont="1" applyBorder="1"/>
    <xf numFmtId="0" fontId="35" fillId="0" borderId="10" xfId="1" applyFont="1" applyBorder="1"/>
    <xf numFmtId="3" fontId="36" fillId="0" borderId="10" xfId="1" applyNumberFormat="1" applyFont="1" applyBorder="1"/>
    <xf numFmtId="3" fontId="37" fillId="0" borderId="10" xfId="1" applyNumberFormat="1" applyFont="1" applyBorder="1"/>
    <xf numFmtId="0" fontId="35" fillId="0" borderId="31" xfId="1" applyFont="1" applyBorder="1"/>
    <xf numFmtId="3" fontId="36" fillId="0" borderId="31" xfId="1" applyNumberFormat="1" applyFont="1" applyBorder="1"/>
    <xf numFmtId="3" fontId="37" fillId="0" borderId="31" xfId="1" applyNumberFormat="1" applyFont="1" applyBorder="1"/>
    <xf numFmtId="0" fontId="11" fillId="0" borderId="0" xfId="1" applyFont="1"/>
    <xf numFmtId="0" fontId="25" fillId="0" borderId="0" xfId="1" applyFont="1"/>
    <xf numFmtId="0" fontId="7" fillId="0" borderId="0" xfId="1" applyFont="1"/>
    <xf numFmtId="3" fontId="11" fillId="0" borderId="0" xfId="1" applyNumberFormat="1" applyFont="1" applyAlignment="1">
      <alignment horizontal="right"/>
    </xf>
    <xf numFmtId="3" fontId="6" fillId="0" borderId="0" xfId="1" applyNumberFormat="1" applyFont="1" applyAlignment="1">
      <alignment horizontal="right"/>
    </xf>
    <xf numFmtId="3" fontId="0" fillId="0" borderId="55" xfId="0" applyNumberFormat="1" applyBorder="1"/>
    <xf numFmtId="0" fontId="23" fillId="6" borderId="28" xfId="1" applyFont="1" applyFill="1" applyBorder="1" applyAlignment="1">
      <alignment horizontal="left"/>
    </xf>
    <xf numFmtId="0" fontId="24" fillId="6" borderId="26" xfId="1" applyFont="1" applyFill="1" applyBorder="1"/>
    <xf numFmtId="49" fontId="21" fillId="7" borderId="50" xfId="1" applyNumberFormat="1" applyFont="1" applyFill="1" applyBorder="1" applyAlignment="1">
      <alignment horizontal="center" vertical="center" wrapText="1"/>
    </xf>
    <xf numFmtId="3" fontId="21" fillId="7" borderId="52" xfId="1" applyNumberFormat="1" applyFont="1" applyFill="1" applyBorder="1" applyAlignment="1">
      <alignment horizontal="center" vertical="center" wrapText="1"/>
    </xf>
    <xf numFmtId="49" fontId="21" fillId="7" borderId="22" xfId="1" applyNumberFormat="1" applyFont="1" applyFill="1" applyBorder="1" applyAlignment="1">
      <alignment horizontal="center" vertical="center" wrapText="1"/>
    </xf>
    <xf numFmtId="49" fontId="21" fillId="7" borderId="23" xfId="1" applyNumberFormat="1" applyFont="1" applyFill="1" applyBorder="1" applyAlignment="1">
      <alignment vertical="center" wrapText="1"/>
    </xf>
    <xf numFmtId="49" fontId="21" fillId="7" borderId="23" xfId="1" applyNumberFormat="1" applyFont="1" applyFill="1" applyBorder="1" applyAlignment="1">
      <alignment horizontal="center" vertical="center" wrapText="1"/>
    </xf>
    <xf numFmtId="49" fontId="21" fillId="7" borderId="24" xfId="1" applyNumberFormat="1" applyFont="1" applyFill="1" applyBorder="1" applyAlignment="1">
      <alignment horizontal="center" vertical="center" wrapText="1"/>
    </xf>
    <xf numFmtId="49" fontId="21" fillId="7" borderId="27" xfId="1" applyNumberFormat="1" applyFont="1" applyFill="1" applyBorder="1" applyAlignment="1">
      <alignment horizontal="center" vertical="center" wrapText="1"/>
    </xf>
    <xf numFmtId="3" fontId="21" fillId="7" borderId="29" xfId="1" applyNumberFormat="1" applyFont="1" applyFill="1" applyBorder="1" applyAlignment="1">
      <alignment horizontal="center" vertical="center" wrapText="1"/>
    </xf>
    <xf numFmtId="3" fontId="21" fillId="7" borderId="23" xfId="1" applyNumberFormat="1" applyFont="1" applyFill="1" applyBorder="1" applyAlignment="1">
      <alignment vertical="center" wrapText="1"/>
    </xf>
    <xf numFmtId="3" fontId="21" fillId="7" borderId="23" xfId="1" applyNumberFormat="1" applyFont="1" applyFill="1" applyBorder="1" applyAlignment="1">
      <alignment horizontal="center" vertical="center" wrapText="1"/>
    </xf>
    <xf numFmtId="3" fontId="21" fillId="7" borderId="27" xfId="1" applyNumberFormat="1" applyFont="1" applyFill="1" applyBorder="1" applyAlignment="1">
      <alignment horizontal="center" vertical="center" wrapText="1"/>
    </xf>
    <xf numFmtId="0" fontId="6" fillId="8" borderId="34" xfId="1" applyFont="1" applyFill="1" applyBorder="1"/>
    <xf numFmtId="0" fontId="6" fillId="8" borderId="48" xfId="1" applyFont="1" applyFill="1" applyBorder="1"/>
    <xf numFmtId="3" fontId="6" fillId="8" borderId="34" xfId="1" applyNumberFormat="1" applyFont="1" applyFill="1" applyBorder="1" applyAlignment="1">
      <alignment horizontal="right"/>
    </xf>
    <xf numFmtId="3" fontId="6" fillId="8" borderId="42" xfId="1" applyNumberFormat="1" applyFont="1" applyFill="1" applyBorder="1" applyAlignment="1">
      <alignment horizontal="right"/>
    </xf>
    <xf numFmtId="3" fontId="6" fillId="8" borderId="41" xfId="1" applyNumberFormat="1" applyFont="1" applyFill="1" applyBorder="1" applyAlignment="1">
      <alignment horizontal="right"/>
    </xf>
    <xf numFmtId="3" fontId="6" fillId="8" borderId="48" xfId="1" applyNumberFormat="1" applyFont="1" applyFill="1" applyBorder="1" applyAlignment="1">
      <alignment horizontal="right"/>
    </xf>
    <xf numFmtId="3" fontId="6" fillId="8" borderId="43" xfId="1" applyNumberFormat="1" applyFont="1" applyFill="1" applyBorder="1" applyAlignment="1">
      <alignment horizontal="right"/>
    </xf>
    <xf numFmtId="0" fontId="22" fillId="9" borderId="50" xfId="1" applyFont="1" applyFill="1" applyBorder="1" applyAlignment="1">
      <alignment horizontal="left"/>
    </xf>
    <xf numFmtId="0" fontId="23" fillId="9" borderId="35" xfId="1" applyFont="1" applyFill="1" applyBorder="1" applyAlignment="1">
      <alignment horizontal="left"/>
    </xf>
    <xf numFmtId="3" fontId="7" fillId="9" borderId="50" xfId="1" applyNumberFormat="1" applyFont="1" applyFill="1" applyBorder="1"/>
    <xf numFmtId="3" fontId="7" fillId="9" borderId="47" xfId="1" applyNumberFormat="1" applyFont="1" applyFill="1" applyBorder="1"/>
    <xf numFmtId="3" fontId="7" fillId="9" borderId="35" xfId="1" applyNumberFormat="1" applyFont="1" applyFill="1" applyBorder="1"/>
    <xf numFmtId="3" fontId="7" fillId="9" borderId="51" xfId="1" applyNumberFormat="1" applyFont="1" applyFill="1" applyBorder="1"/>
    <xf numFmtId="3" fontId="7" fillId="9" borderId="52" xfId="1" applyNumberFormat="1" applyFont="1" applyFill="1" applyBorder="1"/>
    <xf numFmtId="0" fontId="22" fillId="9" borderId="50" xfId="1" applyFont="1" applyFill="1" applyBorder="1"/>
    <xf numFmtId="0" fontId="23" fillId="9" borderId="51" xfId="1" applyFont="1" applyFill="1" applyBorder="1"/>
    <xf numFmtId="0" fontId="22" fillId="9" borderId="44" xfId="1" applyFont="1" applyFill="1" applyBorder="1"/>
    <xf numFmtId="0" fontId="25" fillId="9" borderId="57" xfId="1" applyFont="1" applyFill="1" applyBorder="1"/>
    <xf numFmtId="0" fontId="25" fillId="9" borderId="51" xfId="1" applyFont="1" applyFill="1" applyBorder="1"/>
    <xf numFmtId="0" fontId="22" fillId="9" borderId="54" xfId="1" applyFont="1" applyFill="1" applyBorder="1"/>
    <xf numFmtId="0" fontId="22" fillId="9" borderId="51" xfId="1" applyFont="1" applyFill="1" applyBorder="1"/>
    <xf numFmtId="0" fontId="22" fillId="9" borderId="34" xfId="1" applyFont="1" applyFill="1" applyBorder="1"/>
    <xf numFmtId="0" fontId="32" fillId="9" borderId="48" xfId="1" applyFont="1" applyFill="1" applyBorder="1"/>
    <xf numFmtId="3" fontId="7" fillId="9" borderId="40" xfId="1" applyNumberFormat="1" applyFont="1" applyFill="1" applyBorder="1"/>
    <xf numFmtId="3" fontId="7" fillId="9" borderId="38" xfId="1" applyNumberFormat="1" applyFont="1" applyFill="1" applyBorder="1"/>
    <xf numFmtId="3" fontId="7" fillId="9" borderId="37" xfId="1" applyNumberFormat="1" applyFont="1" applyFill="1" applyBorder="1"/>
    <xf numFmtId="3" fontId="7" fillId="9" borderId="58" xfId="1" applyNumberFormat="1" applyFont="1" applyFill="1" applyBorder="1"/>
    <xf numFmtId="3" fontId="7" fillId="9" borderId="59" xfId="1" applyNumberFormat="1" applyFont="1" applyFill="1" applyBorder="1"/>
    <xf numFmtId="3" fontId="7" fillId="9" borderId="49" xfId="1" applyNumberFormat="1" applyFont="1" applyFill="1" applyBorder="1"/>
    <xf numFmtId="0" fontId="23" fillId="10" borderId="17" xfId="1" applyFont="1" applyFill="1" applyBorder="1" applyAlignment="1">
      <alignment horizontal="left"/>
    </xf>
    <xf numFmtId="0" fontId="24" fillId="10" borderId="18" xfId="1" applyFont="1" applyFill="1" applyBorder="1"/>
    <xf numFmtId="3" fontId="1" fillId="10" borderId="17" xfId="1" applyNumberFormat="1" applyFill="1" applyBorder="1"/>
    <xf numFmtId="3" fontId="1" fillId="10" borderId="19" xfId="1" applyNumberFormat="1" applyFill="1" applyBorder="1"/>
    <xf numFmtId="3" fontId="1" fillId="10" borderId="18" xfId="1" applyNumberFormat="1" applyFill="1" applyBorder="1"/>
    <xf numFmtId="3" fontId="1" fillId="10" borderId="20" xfId="1" applyNumberFormat="1" applyFill="1" applyBorder="1"/>
    <xf numFmtId="3" fontId="1" fillId="10" borderId="21" xfId="1" applyNumberFormat="1" applyFill="1" applyBorder="1"/>
    <xf numFmtId="0" fontId="23" fillId="10" borderId="22" xfId="1" applyFont="1" applyFill="1" applyBorder="1" applyAlignment="1">
      <alignment horizontal="left"/>
    </xf>
    <xf numFmtId="0" fontId="24" fillId="10" borderId="24" xfId="1" applyFont="1" applyFill="1" applyBorder="1"/>
    <xf numFmtId="3" fontId="1" fillId="10" borderId="22" xfId="1" applyNumberFormat="1" applyFill="1" applyBorder="1"/>
    <xf numFmtId="3" fontId="1" fillId="10" borderId="23" xfId="1" applyNumberFormat="1" applyFill="1" applyBorder="1"/>
    <xf numFmtId="3" fontId="1" fillId="10" borderId="24" xfId="1" applyNumberFormat="1" applyFill="1" applyBorder="1"/>
    <xf numFmtId="3" fontId="1" fillId="10" borderId="25" xfId="1" applyNumberFormat="1" applyFill="1" applyBorder="1"/>
    <xf numFmtId="3" fontId="1" fillId="10" borderId="26" xfId="1" applyNumberFormat="1" applyFill="1" applyBorder="1"/>
    <xf numFmtId="3" fontId="1" fillId="10" borderId="45" xfId="1" applyNumberFormat="1" applyFill="1" applyBorder="1"/>
    <xf numFmtId="0" fontId="24" fillId="10" borderId="20" xfId="1" applyFont="1" applyFill="1" applyBorder="1"/>
    <xf numFmtId="0" fontId="24" fillId="10" borderId="27" xfId="1" applyFont="1" applyFill="1" applyBorder="1"/>
    <xf numFmtId="3" fontId="1" fillId="10" borderId="28" xfId="1" applyNumberFormat="1" applyFill="1" applyBorder="1"/>
    <xf numFmtId="3" fontId="1" fillId="10" borderId="29" xfId="1" applyNumberFormat="1" applyFill="1" applyBorder="1"/>
    <xf numFmtId="3" fontId="1" fillId="10" borderId="27" xfId="1" applyNumberFormat="1" applyFill="1" applyBorder="1"/>
    <xf numFmtId="0" fontId="26" fillId="10" borderId="20" xfId="1" applyFont="1" applyFill="1" applyBorder="1"/>
    <xf numFmtId="0" fontId="23" fillId="10" borderId="22" xfId="1" applyFont="1" applyFill="1" applyBorder="1"/>
    <xf numFmtId="0" fontId="26" fillId="10" borderId="27" xfId="1" applyFont="1" applyFill="1" applyBorder="1"/>
    <xf numFmtId="0" fontId="23" fillId="10" borderId="36" xfId="1" applyFont="1" applyFill="1" applyBorder="1" applyAlignment="1">
      <alignment horizontal="left"/>
    </xf>
    <xf numFmtId="0" fontId="23" fillId="10" borderId="17" xfId="1" applyFont="1" applyFill="1" applyBorder="1"/>
    <xf numFmtId="0" fontId="27" fillId="10" borderId="20" xfId="1" applyFont="1" applyFill="1" applyBorder="1"/>
    <xf numFmtId="0" fontId="23" fillId="10" borderId="36" xfId="1" applyFont="1" applyFill="1" applyBorder="1"/>
    <xf numFmtId="0" fontId="24" fillId="10" borderId="14" xfId="1" applyFont="1" applyFill="1" applyBorder="1"/>
    <xf numFmtId="0" fontId="29" fillId="10" borderId="17" xfId="1" applyFont="1" applyFill="1" applyBorder="1"/>
    <xf numFmtId="0" fontId="30" fillId="10" borderId="20" xfId="1" applyFont="1" applyFill="1" applyBorder="1"/>
    <xf numFmtId="0" fontId="29" fillId="10" borderId="15" xfId="1" applyFont="1" applyFill="1" applyBorder="1"/>
    <xf numFmtId="0" fontId="30" fillId="10" borderId="53" xfId="1" applyFont="1" applyFill="1" applyBorder="1"/>
    <xf numFmtId="3" fontId="11" fillId="10" borderId="24" xfId="1" applyNumberFormat="1" applyFont="1" applyFill="1" applyBorder="1" applyAlignment="1">
      <alignment horizontal="right"/>
    </xf>
    <xf numFmtId="3" fontId="11" fillId="10" borderId="28" xfId="1" applyNumberFormat="1" applyFont="1" applyFill="1" applyBorder="1" applyAlignment="1">
      <alignment horizontal="right"/>
    </xf>
    <xf numFmtId="3" fontId="11" fillId="10" borderId="25" xfId="1" applyNumberFormat="1" applyFont="1" applyFill="1" applyBorder="1" applyAlignment="1">
      <alignment horizontal="right"/>
    </xf>
    <xf numFmtId="3" fontId="11" fillId="10" borderId="26" xfId="1" applyNumberFormat="1" applyFont="1" applyFill="1" applyBorder="1" applyAlignment="1">
      <alignment horizontal="right"/>
    </xf>
    <xf numFmtId="3" fontId="11" fillId="10" borderId="27" xfId="1" applyNumberFormat="1" applyFont="1" applyFill="1" applyBorder="1" applyAlignment="1">
      <alignment horizontal="right"/>
    </xf>
    <xf numFmtId="0" fontId="31" fillId="10" borderId="17" xfId="1" applyFont="1" applyFill="1" applyBorder="1"/>
    <xf numFmtId="0" fontId="31" fillId="10" borderId="28" xfId="1" applyFont="1" applyFill="1" applyBorder="1"/>
    <xf numFmtId="0" fontId="26" fillId="10" borderId="26" xfId="1" applyFont="1" applyFill="1" applyBorder="1"/>
    <xf numFmtId="3" fontId="1" fillId="10" borderId="30" xfId="1" applyNumberFormat="1" applyFill="1" applyBorder="1"/>
    <xf numFmtId="0" fontId="31" fillId="10" borderId="22" xfId="1" applyFont="1" applyFill="1" applyBorder="1"/>
    <xf numFmtId="3" fontId="40" fillId="11" borderId="60" xfId="1" applyNumberFormat="1" applyFont="1" applyFill="1" applyBorder="1"/>
    <xf numFmtId="3" fontId="40" fillId="11" borderId="61" xfId="1" applyNumberFormat="1" applyFont="1" applyFill="1" applyBorder="1"/>
    <xf numFmtId="3" fontId="40" fillId="11" borderId="62" xfId="1" applyNumberFormat="1" applyFont="1" applyFill="1" applyBorder="1"/>
    <xf numFmtId="3" fontId="1" fillId="12" borderId="63" xfId="1" applyNumberFormat="1" applyFill="1" applyBorder="1"/>
    <xf numFmtId="3" fontId="1" fillId="12" borderId="56" xfId="1" applyNumberFormat="1" applyFill="1" applyBorder="1"/>
    <xf numFmtId="3" fontId="1" fillId="12" borderId="64" xfId="1" applyNumberFormat="1" applyFill="1" applyBorder="1"/>
    <xf numFmtId="3" fontId="1" fillId="0" borderId="56" xfId="1" applyNumberFormat="1" applyBorder="1"/>
    <xf numFmtId="3" fontId="1" fillId="0" borderId="64" xfId="1" applyNumberFormat="1" applyBorder="1"/>
    <xf numFmtId="3" fontId="1" fillId="12" borderId="65" xfId="1" applyNumberFormat="1" applyFill="1" applyBorder="1"/>
    <xf numFmtId="3" fontId="1" fillId="12" borderId="66" xfId="1" applyNumberFormat="1" applyFill="1" applyBorder="1"/>
    <xf numFmtId="3" fontId="1" fillId="12" borderId="67" xfId="1" applyNumberFormat="1" applyFill="1" applyBorder="1"/>
    <xf numFmtId="3" fontId="7" fillId="11" borderId="60" xfId="1" applyNumberFormat="1" applyFont="1" applyFill="1" applyBorder="1"/>
    <xf numFmtId="3" fontId="7" fillId="11" borderId="61" xfId="1" applyNumberFormat="1" applyFont="1" applyFill="1" applyBorder="1"/>
    <xf numFmtId="3" fontId="1" fillId="12" borderId="68" xfId="1" applyNumberFormat="1" applyFill="1" applyBorder="1"/>
    <xf numFmtId="3" fontId="1" fillId="12" borderId="69" xfId="1" applyNumberFormat="1" applyFill="1" applyBorder="1"/>
    <xf numFmtId="3" fontId="1" fillId="12" borderId="70" xfId="1" applyNumberFormat="1" applyFill="1" applyBorder="1"/>
    <xf numFmtId="3" fontId="7" fillId="11" borderId="62" xfId="1" applyNumberFormat="1" applyFont="1" applyFill="1" applyBorder="1"/>
    <xf numFmtId="3" fontId="41" fillId="0" borderId="56" xfId="1" applyNumberFormat="1" applyFont="1" applyBorder="1"/>
    <xf numFmtId="3" fontId="41" fillId="0" borderId="64" xfId="1" applyNumberFormat="1" applyFont="1" applyBorder="1"/>
    <xf numFmtId="3" fontId="41" fillId="12" borderId="69" xfId="1" applyNumberFormat="1" applyFont="1" applyFill="1" applyBorder="1"/>
    <xf numFmtId="3" fontId="41" fillId="12" borderId="70" xfId="1" applyNumberFormat="1" applyFont="1" applyFill="1" applyBorder="1"/>
    <xf numFmtId="3" fontId="1" fillId="0" borderId="69" xfId="1" applyNumberFormat="1" applyBorder="1"/>
    <xf numFmtId="3" fontId="1" fillId="0" borderId="70" xfId="1" applyNumberFormat="1" applyBorder="1"/>
    <xf numFmtId="3" fontId="1" fillId="13" borderId="56" xfId="1" applyNumberFormat="1" applyFill="1" applyBorder="1"/>
    <xf numFmtId="3" fontId="1" fillId="13" borderId="64" xfId="1" applyNumberFormat="1" applyFill="1" applyBorder="1"/>
    <xf numFmtId="3" fontId="42" fillId="0" borderId="64" xfId="1" applyNumberFormat="1" applyFont="1" applyBorder="1"/>
    <xf numFmtId="3" fontId="42" fillId="0" borderId="56" xfId="1" applyNumberFormat="1" applyFont="1" applyBorder="1"/>
    <xf numFmtId="3" fontId="42" fillId="12" borderId="56" xfId="1" applyNumberFormat="1" applyFont="1" applyFill="1" applyBorder="1"/>
    <xf numFmtId="3" fontId="7" fillId="11" borderId="71" xfId="1" applyNumberFormat="1" applyFont="1" applyFill="1" applyBorder="1"/>
    <xf numFmtId="3" fontId="1" fillId="12" borderId="72" xfId="1" applyNumberFormat="1" applyFill="1" applyBorder="1"/>
    <xf numFmtId="3" fontId="1" fillId="12" borderId="73" xfId="1" applyNumberFormat="1" applyFill="1" applyBorder="1"/>
    <xf numFmtId="3" fontId="43" fillId="12" borderId="70" xfId="1" applyNumberFormat="1" applyFont="1" applyFill="1" applyBorder="1" applyAlignment="1">
      <alignment horizontal="right"/>
    </xf>
    <xf numFmtId="3" fontId="7" fillId="11" borderId="74" xfId="1" applyNumberFormat="1" applyFont="1" applyFill="1" applyBorder="1"/>
    <xf numFmtId="3" fontId="7" fillId="11" borderId="75" xfId="1" applyNumberFormat="1" applyFont="1" applyFill="1" applyBorder="1"/>
    <xf numFmtId="3" fontId="1" fillId="0" borderId="63" xfId="1" applyNumberFormat="1" applyBorder="1"/>
    <xf numFmtId="3" fontId="1" fillId="0" borderId="68" xfId="1" applyNumberFormat="1" applyBorder="1"/>
    <xf numFmtId="3" fontId="1" fillId="6" borderId="45" xfId="1" applyNumberFormat="1" applyFill="1" applyBorder="1"/>
    <xf numFmtId="3" fontId="43" fillId="0" borderId="76" xfId="1" applyNumberFormat="1" applyFont="1" applyBorder="1"/>
    <xf numFmtId="3" fontId="1" fillId="0" borderId="77" xfId="1" applyNumberFormat="1" applyBorder="1"/>
    <xf numFmtId="3" fontId="11" fillId="0" borderId="77" xfId="1" applyNumberFormat="1" applyFont="1" applyBorder="1" applyAlignment="1">
      <alignment horizontal="right"/>
    </xf>
    <xf numFmtId="3" fontId="20" fillId="0" borderId="1" xfId="0" applyNumberFormat="1" applyFont="1" applyBorder="1" applyAlignment="1">
      <alignment horizontal="center" wrapText="1"/>
    </xf>
    <xf numFmtId="0" fontId="20" fillId="0" borderId="1" xfId="0" applyFont="1" applyBorder="1" applyAlignment="1">
      <alignment horizontal="left"/>
    </xf>
    <xf numFmtId="0" fontId="11" fillId="0" borderId="15" xfId="1" applyFont="1" applyBorder="1"/>
    <xf numFmtId="0" fontId="11" fillId="0" borderId="53" xfId="1" applyFont="1" applyBorder="1"/>
    <xf numFmtId="0" fontId="45" fillId="0" borderId="3" xfId="1" applyFont="1" applyBorder="1"/>
    <xf numFmtId="0" fontId="49" fillId="0" borderId="0" xfId="1" applyFont="1"/>
    <xf numFmtId="3" fontId="52" fillId="0" borderId="3" xfId="1" applyNumberFormat="1" applyFont="1" applyBorder="1"/>
    <xf numFmtId="3" fontId="52" fillId="0" borderId="10" xfId="1" applyNumberFormat="1" applyFont="1" applyBorder="1"/>
    <xf numFmtId="3" fontId="51" fillId="0" borderId="56" xfId="1" applyNumberFormat="1" applyFont="1" applyBorder="1"/>
    <xf numFmtId="3" fontId="51" fillId="0" borderId="64" xfId="1" applyNumberFormat="1" applyFont="1" applyBorder="1"/>
    <xf numFmtId="3" fontId="51" fillId="0" borderId="72" xfId="1" applyNumberFormat="1" applyFont="1" applyBorder="1"/>
    <xf numFmtId="3" fontId="14" fillId="0" borderId="5" xfId="0" applyNumberFormat="1" applyFont="1" applyBorder="1"/>
    <xf numFmtId="3" fontId="34" fillId="0" borderId="5" xfId="0" applyNumberFormat="1" applyFont="1" applyBorder="1"/>
    <xf numFmtId="3" fontId="51" fillId="0" borderId="73" xfId="1" applyNumberFormat="1" applyFont="1" applyBorder="1"/>
    <xf numFmtId="3" fontId="51" fillId="0" borderId="69" xfId="1" applyNumberFormat="1" applyFont="1" applyBorder="1"/>
    <xf numFmtId="3" fontId="51" fillId="0" borderId="70" xfId="1" applyNumberFormat="1" applyFont="1" applyBorder="1"/>
    <xf numFmtId="3" fontId="44" fillId="0" borderId="71" xfId="1" applyNumberFormat="1" applyFont="1" applyBorder="1"/>
    <xf numFmtId="3" fontId="44" fillId="0" borderId="61" xfId="1" applyNumberFormat="1" applyFont="1" applyBorder="1"/>
    <xf numFmtId="3" fontId="51" fillId="0" borderId="99" xfId="1" applyNumberFormat="1" applyFont="1" applyBorder="1"/>
    <xf numFmtId="3" fontId="51" fillId="0" borderId="66" xfId="1" applyNumberFormat="1" applyFont="1" applyBorder="1"/>
    <xf numFmtId="0" fontId="48" fillId="0" borderId="79" xfId="1" applyFont="1" applyBorder="1" applyAlignment="1">
      <alignment horizontal="left"/>
    </xf>
    <xf numFmtId="0" fontId="23" fillId="0" borderId="102" xfId="1" applyFont="1" applyBorder="1" applyAlignment="1">
      <alignment horizontal="left"/>
    </xf>
    <xf numFmtId="0" fontId="23" fillId="0" borderId="80" xfId="1" applyFont="1" applyBorder="1" applyAlignment="1">
      <alignment horizontal="left"/>
    </xf>
    <xf numFmtId="0" fontId="24" fillId="0" borderId="81" xfId="1" applyFont="1" applyBorder="1"/>
    <xf numFmtId="0" fontId="23" fillId="0" borderId="103" xfId="1" applyFont="1" applyBorder="1" applyAlignment="1">
      <alignment horizontal="left"/>
    </xf>
    <xf numFmtId="0" fontId="24" fillId="0" borderId="104" xfId="1" applyFont="1" applyBorder="1"/>
    <xf numFmtId="0" fontId="48" fillId="0" borderId="105" xfId="1" applyFont="1" applyBorder="1"/>
    <xf numFmtId="0" fontId="23" fillId="0" borderId="106" xfId="1" applyFont="1" applyBorder="1"/>
    <xf numFmtId="0" fontId="24" fillId="0" borderId="91" xfId="1" applyFont="1" applyBorder="1"/>
    <xf numFmtId="0" fontId="23" fillId="0" borderId="103" xfId="1" applyFont="1" applyBorder="1"/>
    <xf numFmtId="0" fontId="48" fillId="0" borderId="107" xfId="1" applyFont="1" applyBorder="1"/>
    <xf numFmtId="0" fontId="25" fillId="0" borderId="108" xfId="1" applyFont="1" applyBorder="1"/>
    <xf numFmtId="0" fontId="23" fillId="0" borderId="109" xfId="1" applyFont="1" applyBorder="1" applyAlignment="1">
      <alignment horizontal="left"/>
    </xf>
    <xf numFmtId="0" fontId="25" fillId="0" borderId="106" xfId="1" applyFont="1" applyBorder="1"/>
    <xf numFmtId="0" fontId="23" fillId="0" borderId="80" xfId="1" applyFont="1" applyBorder="1"/>
    <xf numFmtId="0" fontId="27" fillId="0" borderId="81" xfId="1" applyFont="1" applyBorder="1"/>
    <xf numFmtId="0" fontId="23" fillId="0" borderId="109" xfId="1" applyFont="1" applyBorder="1"/>
    <xf numFmtId="0" fontId="24" fillId="0" borderId="90" xfId="1" applyFont="1" applyBorder="1"/>
    <xf numFmtId="0" fontId="23" fillId="0" borderId="82" xfId="1" applyFont="1" applyBorder="1" applyAlignment="1">
      <alignment horizontal="left"/>
    </xf>
    <xf numFmtId="0" fontId="24" fillId="0" borderId="83" xfId="1" applyFont="1" applyBorder="1"/>
    <xf numFmtId="0" fontId="31" fillId="0" borderId="80" xfId="1" applyFont="1" applyBorder="1"/>
    <xf numFmtId="0" fontId="31" fillId="0" borderId="82" xfId="1" applyFont="1" applyBorder="1"/>
    <xf numFmtId="0" fontId="31" fillId="0" borderId="103" xfId="1" applyFont="1" applyBorder="1"/>
    <xf numFmtId="0" fontId="48" fillId="0" borderId="110" xfId="1" applyFont="1" applyBorder="1"/>
    <xf numFmtId="0" fontId="22" fillId="0" borderId="106" xfId="1" applyFont="1" applyBorder="1"/>
    <xf numFmtId="0" fontId="23" fillId="0" borderId="82" xfId="1" applyFont="1" applyBorder="1"/>
    <xf numFmtId="0" fontId="23" fillId="0" borderId="72" xfId="1" applyFont="1" applyBorder="1" applyAlignment="1">
      <alignment horizontal="left"/>
    </xf>
    <xf numFmtId="0" fontId="24" fillId="0" borderId="64" xfId="1" applyFont="1" applyBorder="1"/>
    <xf numFmtId="0" fontId="23" fillId="0" borderId="72" xfId="1" applyFont="1" applyBorder="1"/>
    <xf numFmtId="0" fontId="48" fillId="0" borderId="112" xfId="1" applyFont="1" applyBorder="1"/>
    <xf numFmtId="0" fontId="32" fillId="0" borderId="113" xfId="1" applyFont="1" applyBorder="1"/>
    <xf numFmtId="0" fontId="23" fillId="0" borderId="73" xfId="1" applyFont="1" applyBorder="1"/>
    <xf numFmtId="3" fontId="51" fillId="0" borderId="67" xfId="1" applyNumberFormat="1" applyFont="1" applyBorder="1"/>
    <xf numFmtId="0" fontId="54" fillId="0" borderId="34" xfId="0" applyFont="1" applyBorder="1" applyAlignment="1">
      <alignment horizontal="left"/>
    </xf>
    <xf numFmtId="0" fontId="20" fillId="0" borderId="1" xfId="0" applyFont="1" applyBorder="1"/>
    <xf numFmtId="3" fontId="20" fillId="0" borderId="2" xfId="0" applyNumberFormat="1" applyFont="1" applyBorder="1" applyAlignment="1">
      <alignment horizontal="right"/>
    </xf>
    <xf numFmtId="0" fontId="49" fillId="0" borderId="3" xfId="0" applyFont="1" applyBorder="1"/>
    <xf numFmtId="3" fontId="14" fillId="0" borderId="4" xfId="0" applyNumberFormat="1" applyFont="1" applyBorder="1" applyAlignment="1">
      <alignment horizontal="right"/>
    </xf>
    <xf numFmtId="0" fontId="14" fillId="0" borderId="5" xfId="0" applyFont="1" applyBorder="1"/>
    <xf numFmtId="0" fontId="55" fillId="0" borderId="5" xfId="0" applyFont="1" applyBorder="1"/>
    <xf numFmtId="0" fontId="14" fillId="0" borderId="8" xfId="0" applyFont="1" applyBorder="1"/>
    <xf numFmtId="0" fontId="55" fillId="0" borderId="7" xfId="0" applyFont="1" applyBorder="1"/>
    <xf numFmtId="0" fontId="34" fillId="0" borderId="5" xfId="0" applyFont="1" applyBorder="1"/>
    <xf numFmtId="0" fontId="49" fillId="0" borderId="10" xfId="0" applyFont="1" applyBorder="1"/>
    <xf numFmtId="3" fontId="34" fillId="0" borderId="7" xfId="0" applyNumberFormat="1" applyFont="1" applyBorder="1"/>
    <xf numFmtId="0" fontId="55" fillId="0" borderId="5" xfId="0" applyFont="1" applyBorder="1" applyAlignment="1">
      <alignment horizontal="left"/>
    </xf>
    <xf numFmtId="0" fontId="20" fillId="0" borderId="32" xfId="0" applyFont="1" applyBorder="1"/>
    <xf numFmtId="3" fontId="20" fillId="0" borderId="33" xfId="0" applyNumberFormat="1" applyFont="1" applyBorder="1" applyAlignment="1">
      <alignment horizontal="right"/>
    </xf>
    <xf numFmtId="0" fontId="56" fillId="0" borderId="0" xfId="0" applyFont="1"/>
    <xf numFmtId="3" fontId="49" fillId="0" borderId="85" xfId="0" applyNumberFormat="1" applyFont="1" applyBorder="1" applyAlignment="1">
      <alignment horizontal="left"/>
    </xf>
    <xf numFmtId="3" fontId="14" fillId="0" borderId="85" xfId="0" applyNumberFormat="1" applyFont="1" applyBorder="1" applyAlignment="1">
      <alignment horizontal="right"/>
    </xf>
    <xf numFmtId="0" fontId="57" fillId="0" borderId="1" xfId="0" applyFont="1" applyBorder="1" applyAlignment="1">
      <alignment horizontal="left"/>
    </xf>
    <xf numFmtId="3" fontId="57" fillId="0" borderId="2" xfId="0" applyNumberFormat="1" applyFont="1" applyBorder="1" applyAlignment="1">
      <alignment horizontal="right"/>
    </xf>
    <xf numFmtId="0" fontId="14" fillId="0" borderId="0" xfId="0" applyFont="1" applyAlignment="1">
      <alignment horizontal="left"/>
    </xf>
    <xf numFmtId="0" fontId="45" fillId="0" borderId="116" xfId="1" applyFont="1" applyBorder="1"/>
    <xf numFmtId="3" fontId="52" fillId="0" borderId="117" xfId="1" applyNumberFormat="1" applyFont="1" applyBorder="1"/>
    <xf numFmtId="0" fontId="45" fillId="0" borderId="118" xfId="1" applyFont="1" applyBorder="1"/>
    <xf numFmtId="0" fontId="45" fillId="0" borderId="119" xfId="1" applyFont="1" applyBorder="1"/>
    <xf numFmtId="3" fontId="52" fillId="0" borderId="93" xfId="1" applyNumberFormat="1" applyFont="1" applyBorder="1"/>
    <xf numFmtId="0" fontId="45" fillId="0" borderId="8" xfId="1" applyFont="1" applyBorder="1"/>
    <xf numFmtId="3" fontId="52" fillId="0" borderId="8" xfId="1" applyNumberFormat="1" applyFont="1" applyBorder="1"/>
    <xf numFmtId="0" fontId="45" fillId="0" borderId="120" xfId="1" applyFont="1" applyBorder="1"/>
    <xf numFmtId="3" fontId="52" fillId="0" borderId="96" xfId="1" applyNumberFormat="1" applyFont="1" applyBorder="1"/>
    <xf numFmtId="0" fontId="2" fillId="0" borderId="7" xfId="1" applyFont="1" applyBorder="1"/>
    <xf numFmtId="3" fontId="37" fillId="0" borderId="7" xfId="1" applyNumberFormat="1" applyFont="1" applyBorder="1"/>
    <xf numFmtId="0" fontId="6" fillId="0" borderId="120" xfId="1" applyFont="1" applyBorder="1"/>
    <xf numFmtId="3" fontId="20" fillId="0" borderId="96" xfId="1" applyNumberFormat="1" applyFont="1" applyBorder="1" applyAlignment="1">
      <alignment horizontal="center" wrapText="1"/>
    </xf>
    <xf numFmtId="3" fontId="49" fillId="0" borderId="86" xfId="0" applyNumberFormat="1" applyFont="1" applyBorder="1"/>
    <xf numFmtId="3" fontId="14" fillId="0" borderId="86" xfId="0" applyNumberFormat="1" applyFont="1" applyBorder="1" applyAlignment="1">
      <alignment horizontal="right"/>
    </xf>
    <xf numFmtId="0" fontId="55" fillId="0" borderId="85" xfId="0" applyFont="1" applyBorder="1" applyAlignment="1">
      <alignment horizontal="left"/>
    </xf>
    <xf numFmtId="3" fontId="34" fillId="0" borderId="85" xfId="0" applyNumberFormat="1" applyFont="1" applyBorder="1"/>
    <xf numFmtId="3" fontId="34" fillId="0" borderId="84" xfId="0" applyNumberFormat="1" applyFont="1" applyBorder="1"/>
    <xf numFmtId="0" fontId="14" fillId="0" borderId="121" xfId="0" applyFont="1" applyBorder="1" applyAlignment="1">
      <alignment horizontal="left"/>
    </xf>
    <xf numFmtId="3" fontId="14" fillId="0" borderId="121" xfId="0" applyNumberFormat="1" applyFont="1" applyBorder="1"/>
    <xf numFmtId="0" fontId="59" fillId="0" borderId="0" xfId="0" applyFont="1"/>
    <xf numFmtId="3" fontId="37" fillId="0" borderId="115" xfId="1" applyNumberFormat="1" applyFont="1" applyBorder="1"/>
    <xf numFmtId="3" fontId="37" fillId="0" borderId="125" xfId="1" applyNumberFormat="1" applyFont="1" applyBorder="1"/>
    <xf numFmtId="3" fontId="37" fillId="0" borderId="126" xfId="1" applyNumberFormat="1" applyFont="1" applyBorder="1"/>
    <xf numFmtId="0" fontId="37" fillId="0" borderId="0" xfId="1" applyFont="1"/>
    <xf numFmtId="0" fontId="60" fillId="0" borderId="0" xfId="0" applyFont="1"/>
    <xf numFmtId="4" fontId="57" fillId="0" borderId="2" xfId="0" applyNumberFormat="1" applyFont="1" applyBorder="1" applyAlignment="1">
      <alignment horizontal="right"/>
    </xf>
    <xf numFmtId="4" fontId="1" fillId="0" borderId="0" xfId="1" applyNumberFormat="1"/>
    <xf numFmtId="0" fontId="62" fillId="0" borderId="0" xfId="0" applyFont="1"/>
    <xf numFmtId="3" fontId="14" fillId="0" borderId="11" xfId="0" applyNumberFormat="1" applyFont="1" applyBorder="1" applyAlignment="1">
      <alignment horizontal="right"/>
    </xf>
    <xf numFmtId="3" fontId="44" fillId="0" borderId="137" xfId="1" applyNumberFormat="1" applyFont="1" applyBorder="1"/>
    <xf numFmtId="3" fontId="51" fillId="0" borderId="138" xfId="1" applyNumberFormat="1" applyFont="1" applyBorder="1"/>
    <xf numFmtId="3" fontId="21" fillId="0" borderId="142" xfId="1" applyNumberFormat="1" applyFont="1" applyBorder="1" applyAlignment="1">
      <alignment horizontal="center" vertical="center" wrapText="1"/>
    </xf>
    <xf numFmtId="3" fontId="2" fillId="0" borderId="143" xfId="1" applyNumberFormat="1" applyFont="1" applyBorder="1" applyAlignment="1">
      <alignment horizontal="right"/>
    </xf>
    <xf numFmtId="3" fontId="21" fillId="0" borderId="144" xfId="1" applyNumberFormat="1" applyFont="1" applyBorder="1" applyAlignment="1">
      <alignment horizontal="center" vertical="center" wrapText="1"/>
    </xf>
    <xf numFmtId="3" fontId="2" fillId="0" borderId="145" xfId="1" applyNumberFormat="1" applyFont="1" applyBorder="1" applyAlignment="1">
      <alignment horizontal="right"/>
    </xf>
    <xf numFmtId="3" fontId="1" fillId="0" borderId="146" xfId="1" applyNumberFormat="1" applyBorder="1"/>
    <xf numFmtId="0" fontId="27" fillId="0" borderId="104" xfId="1" applyFont="1" applyBorder="1"/>
    <xf numFmtId="0" fontId="24" fillId="0" borderId="89" xfId="1" applyFont="1" applyBorder="1"/>
    <xf numFmtId="0" fontId="24" fillId="0" borderId="111" xfId="1" applyFont="1" applyBorder="1"/>
    <xf numFmtId="3" fontId="47" fillId="0" borderId="66" xfId="1" applyNumberFormat="1" applyFont="1" applyBorder="1" applyAlignment="1">
      <alignment horizontal="right"/>
    </xf>
    <xf numFmtId="3" fontId="47" fillId="0" borderId="67" xfId="1" applyNumberFormat="1" applyFont="1" applyBorder="1" applyAlignment="1">
      <alignment horizontal="right"/>
    </xf>
    <xf numFmtId="4" fontId="20" fillId="0" borderId="1" xfId="0" applyNumberFormat="1" applyFont="1" applyBorder="1" applyAlignment="1">
      <alignment horizontal="center" wrapText="1"/>
    </xf>
    <xf numFmtId="4" fontId="20" fillId="0" borderId="2" xfId="0" applyNumberFormat="1" applyFont="1" applyBorder="1" applyAlignment="1">
      <alignment horizontal="right"/>
    </xf>
    <xf numFmtId="4" fontId="14" fillId="0" borderId="4" xfId="0" applyNumberFormat="1" applyFont="1" applyBorder="1" applyAlignment="1">
      <alignment horizontal="right"/>
    </xf>
    <xf numFmtId="4" fontId="14" fillId="0" borderId="5" xfId="0" applyNumberFormat="1" applyFont="1" applyBorder="1"/>
    <xf numFmtId="4" fontId="14" fillId="0" borderId="11" xfId="0" applyNumberFormat="1" applyFont="1" applyBorder="1" applyAlignment="1">
      <alignment horizontal="right"/>
    </xf>
    <xf numFmtId="4" fontId="34" fillId="0" borderId="7" xfId="0" applyNumberFormat="1" applyFont="1" applyBorder="1"/>
    <xf numFmtId="4" fontId="34" fillId="0" borderId="5" xfId="0" applyNumberFormat="1" applyFont="1" applyBorder="1"/>
    <xf numFmtId="4" fontId="14" fillId="0" borderId="121" xfId="0" applyNumberFormat="1" applyFont="1" applyBorder="1"/>
    <xf numFmtId="4" fontId="20" fillId="0" borderId="33" xfId="0" applyNumberFormat="1" applyFont="1" applyBorder="1" applyAlignment="1">
      <alignment horizontal="right"/>
    </xf>
    <xf numFmtId="4" fontId="14" fillId="0" borderId="86" xfId="0" applyNumberFormat="1" applyFont="1" applyBorder="1" applyAlignment="1">
      <alignment horizontal="right"/>
    </xf>
    <xf numFmtId="4" fontId="34" fillId="0" borderId="84" xfId="0" applyNumberFormat="1" applyFont="1" applyBorder="1"/>
    <xf numFmtId="4" fontId="34" fillId="0" borderId="85" xfId="0" applyNumberFormat="1" applyFont="1" applyBorder="1"/>
    <xf numFmtId="4" fontId="14" fillId="0" borderId="85" xfId="0" applyNumberFormat="1" applyFont="1" applyBorder="1" applyAlignment="1">
      <alignment horizontal="right"/>
    </xf>
    <xf numFmtId="3" fontId="21" fillId="0" borderId="151" xfId="1" applyNumberFormat="1" applyFont="1" applyBorder="1" applyAlignment="1">
      <alignment horizontal="center" vertical="center" wrapText="1"/>
    </xf>
    <xf numFmtId="3" fontId="2" fillId="0" borderId="152" xfId="1" applyNumberFormat="1" applyFont="1" applyBorder="1" applyAlignment="1">
      <alignment horizontal="right"/>
    </xf>
    <xf numFmtId="3" fontId="1" fillId="0" borderId="150" xfId="1" applyNumberFormat="1" applyBorder="1"/>
    <xf numFmtId="3" fontId="1" fillId="0" borderId="91" xfId="1" applyNumberFormat="1" applyBorder="1"/>
    <xf numFmtId="0" fontId="23" fillId="0" borderId="107" xfId="1" applyFont="1" applyBorder="1"/>
    <xf numFmtId="0" fontId="23" fillId="0" borderId="159" xfId="1" applyFont="1" applyBorder="1"/>
    <xf numFmtId="0" fontId="24" fillId="0" borderId="160" xfId="1" applyFont="1" applyBorder="1"/>
    <xf numFmtId="3" fontId="1" fillId="0" borderId="66" xfId="5" applyNumberFormat="1" applyBorder="1"/>
    <xf numFmtId="49" fontId="65" fillId="0" borderId="94" xfId="3" applyNumberFormat="1" applyFont="1" applyBorder="1"/>
    <xf numFmtId="3" fontId="7" fillId="0" borderId="94" xfId="5" applyNumberFormat="1" applyFont="1" applyBorder="1"/>
    <xf numFmtId="3" fontId="7" fillId="0" borderId="128" xfId="5" applyNumberFormat="1" applyFont="1" applyBorder="1"/>
    <xf numFmtId="3" fontId="65" fillId="0" borderId="98" xfId="3" applyNumberFormat="1" applyFont="1" applyBorder="1"/>
    <xf numFmtId="3" fontId="65" fillId="0" borderId="155" xfId="3" applyNumberFormat="1" applyFont="1" applyBorder="1"/>
    <xf numFmtId="3" fontId="1" fillId="0" borderId="98" xfId="5" applyNumberFormat="1" applyBorder="1"/>
    <xf numFmtId="3" fontId="65" fillId="0" borderId="56" xfId="3" applyNumberFormat="1" applyFont="1" applyBorder="1"/>
    <xf numFmtId="3" fontId="1" fillId="0" borderId="56" xfId="5" applyNumberFormat="1" applyBorder="1"/>
    <xf numFmtId="3" fontId="65" fillId="0" borderId="66" xfId="3" applyNumberFormat="1" applyFont="1" applyBorder="1"/>
    <xf numFmtId="49" fontId="66" fillId="0" borderId="94" xfId="3" applyNumberFormat="1" applyFont="1" applyBorder="1"/>
    <xf numFmtId="49" fontId="68" fillId="0" borderId="94" xfId="3" applyNumberFormat="1" applyFont="1" applyBorder="1"/>
    <xf numFmtId="0" fontId="69" fillId="0" borderId="114" xfId="5" applyFont="1" applyBorder="1" applyAlignment="1">
      <alignment vertical="center" wrapText="1"/>
    </xf>
    <xf numFmtId="3" fontId="65" fillId="0" borderId="128" xfId="3" applyNumberFormat="1" applyFont="1" applyBorder="1"/>
    <xf numFmtId="3" fontId="1" fillId="0" borderId="128" xfId="5" applyNumberFormat="1" applyBorder="1"/>
    <xf numFmtId="0" fontId="69" fillId="0" borderId="97" xfId="5" applyFont="1" applyBorder="1" applyAlignment="1">
      <alignment vertical="center" wrapText="1"/>
    </xf>
    <xf numFmtId="0" fontId="69" fillId="0" borderId="72" xfId="5" applyFont="1" applyBorder="1" applyAlignment="1">
      <alignment vertical="center" wrapText="1"/>
    </xf>
    <xf numFmtId="0" fontId="69" fillId="0" borderId="99" xfId="5" applyFont="1" applyBorder="1" applyAlignment="1">
      <alignment vertical="center" wrapText="1"/>
    </xf>
    <xf numFmtId="0" fontId="71" fillId="0" borderId="106" xfId="1" applyFont="1" applyBorder="1"/>
    <xf numFmtId="3" fontId="2" fillId="0" borderId="153" xfId="1" applyNumberFormat="1" applyFont="1" applyBorder="1" applyAlignment="1">
      <alignment horizontal="right"/>
    </xf>
    <xf numFmtId="0" fontId="6" fillId="0" borderId="174" xfId="1" applyFont="1" applyBorder="1"/>
    <xf numFmtId="0" fontId="6" fillId="0" borderId="175" xfId="1" applyFont="1" applyBorder="1"/>
    <xf numFmtId="4" fontId="20" fillId="0" borderId="96" xfId="1" applyNumberFormat="1" applyFont="1" applyBorder="1" applyAlignment="1">
      <alignment horizontal="center" wrapText="1"/>
    </xf>
    <xf numFmtId="4" fontId="37" fillId="0" borderId="7" xfId="1" applyNumberFormat="1" applyFont="1" applyBorder="1"/>
    <xf numFmtId="4" fontId="37" fillId="0" borderId="10" xfId="1" applyNumberFormat="1" applyFont="1" applyBorder="1"/>
    <xf numFmtId="4" fontId="37" fillId="0" borderId="31" xfId="1" applyNumberFormat="1" applyFont="1" applyBorder="1"/>
    <xf numFmtId="4" fontId="52" fillId="0" borderId="3" xfId="1" applyNumberFormat="1" applyFont="1" applyBorder="1"/>
    <xf numFmtId="4" fontId="52" fillId="0" borderId="8" xfId="1" applyNumberFormat="1" applyFont="1" applyBorder="1"/>
    <xf numFmtId="4" fontId="52" fillId="0" borderId="96" xfId="1" applyNumberFormat="1" applyFont="1" applyBorder="1"/>
    <xf numFmtId="4" fontId="52" fillId="0" borderId="117" xfId="1" applyNumberFormat="1" applyFont="1" applyBorder="1"/>
    <xf numFmtId="4" fontId="52" fillId="0" borderId="10" xfId="1" applyNumberFormat="1" applyFont="1" applyBorder="1"/>
    <xf numFmtId="4" fontId="52" fillId="0" borderId="93" xfId="1" applyNumberFormat="1" applyFont="1" applyBorder="1"/>
    <xf numFmtId="3" fontId="34" fillId="0" borderId="6" xfId="0" applyNumberFormat="1" applyFont="1" applyBorder="1"/>
    <xf numFmtId="3" fontId="34" fillId="0" borderId="9" xfId="0" applyNumberFormat="1" applyFont="1" applyBorder="1"/>
    <xf numFmtId="3" fontId="34" fillId="0" borderId="13" xfId="0" applyNumberFormat="1" applyFont="1" applyBorder="1"/>
    <xf numFmtId="3" fontId="7" fillId="0" borderId="86" xfId="5" applyNumberFormat="1" applyFont="1" applyBorder="1" applyAlignment="1">
      <alignment horizontal="right"/>
    </xf>
    <xf numFmtId="3" fontId="7" fillId="0" borderId="86" xfId="5" applyNumberFormat="1" applyFont="1" applyBorder="1"/>
    <xf numFmtId="2" fontId="31" fillId="0" borderId="150" xfId="3" applyNumberFormat="1" applyFont="1" applyBorder="1" applyAlignment="1">
      <alignment horizontal="center" wrapText="1"/>
    </xf>
    <xf numFmtId="3" fontId="65" fillId="0" borderId="77" xfId="5" applyNumberFormat="1" applyFont="1" applyBorder="1" applyAlignment="1">
      <alignment horizontal="right" vertical="center"/>
    </xf>
    <xf numFmtId="3" fontId="1" fillId="0" borderId="150" xfId="5" applyNumberFormat="1" applyBorder="1"/>
    <xf numFmtId="3" fontId="1" fillId="0" borderId="77" xfId="5" applyNumberFormat="1" applyBorder="1"/>
    <xf numFmtId="49" fontId="31" fillId="0" borderId="94" xfId="3" applyNumberFormat="1" applyFont="1" applyBorder="1" applyAlignment="1">
      <alignment horizontal="right" wrapText="1"/>
    </xf>
    <xf numFmtId="3" fontId="31" fillId="0" borderId="128" xfId="3" applyNumberFormat="1" applyFont="1" applyBorder="1" applyAlignment="1">
      <alignment horizontal="right" vertical="center"/>
    </xf>
    <xf numFmtId="3" fontId="7" fillId="0" borderId="94" xfId="5" applyNumberFormat="1" applyFont="1" applyBorder="1" applyAlignment="1">
      <alignment horizontal="right"/>
    </xf>
    <xf numFmtId="3" fontId="7" fillId="0" borderId="128" xfId="5" applyNumberFormat="1" applyFont="1" applyBorder="1" applyAlignment="1">
      <alignment horizontal="right"/>
    </xf>
    <xf numFmtId="3" fontId="7" fillId="0" borderId="132" xfId="5" applyNumberFormat="1" applyFont="1" applyBorder="1"/>
    <xf numFmtId="0" fontId="69" fillId="0" borderId="94" xfId="5" applyFont="1" applyBorder="1" applyAlignment="1">
      <alignment vertical="center" wrapText="1"/>
    </xf>
    <xf numFmtId="3" fontId="65" fillId="0" borderId="168" xfId="3" applyNumberFormat="1" applyFont="1" applyBorder="1"/>
    <xf numFmtId="0" fontId="72" fillId="0" borderId="0" xfId="0" applyFont="1"/>
    <xf numFmtId="3" fontId="31" fillId="0" borderId="130" xfId="3" applyNumberFormat="1" applyFont="1" applyBorder="1" applyAlignment="1">
      <alignment horizontal="right" vertical="center"/>
    </xf>
    <xf numFmtId="3" fontId="31" fillId="0" borderId="0" xfId="3" applyNumberFormat="1" applyFont="1" applyAlignment="1">
      <alignment horizontal="right" vertical="center" wrapText="1"/>
    </xf>
    <xf numFmtId="3" fontId="67" fillId="0" borderId="130" xfId="3" applyNumberFormat="1" applyFont="1" applyBorder="1"/>
    <xf numFmtId="3" fontId="65" fillId="0" borderId="163" xfId="3" applyNumberFormat="1" applyFont="1" applyBorder="1"/>
    <xf numFmtId="3" fontId="65" fillId="0" borderId="130" xfId="3" applyNumberFormat="1" applyFont="1" applyBorder="1"/>
    <xf numFmtId="3" fontId="65" fillId="0" borderId="164" xfId="3" applyNumberFormat="1" applyFont="1" applyBorder="1"/>
    <xf numFmtId="3" fontId="65" fillId="0" borderId="131" xfId="3" applyNumberFormat="1" applyFont="1" applyBorder="1"/>
    <xf numFmtId="3" fontId="65" fillId="0" borderId="86" xfId="3" applyNumberFormat="1" applyFont="1" applyBorder="1"/>
    <xf numFmtId="3" fontId="31" fillId="0" borderId="94" xfId="3" applyNumberFormat="1" applyFont="1" applyBorder="1" applyAlignment="1">
      <alignment horizontal="right" vertical="center"/>
    </xf>
    <xf numFmtId="3" fontId="31" fillId="0" borderId="166" xfId="3" applyNumberFormat="1" applyFont="1" applyBorder="1" applyAlignment="1">
      <alignment horizontal="right" vertical="center"/>
    </xf>
    <xf numFmtId="3" fontId="67" fillId="0" borderId="94" xfId="3" applyNumberFormat="1" applyFont="1" applyBorder="1"/>
    <xf numFmtId="3" fontId="67" fillId="0" borderId="166" xfId="3" applyNumberFormat="1" applyFont="1" applyBorder="1"/>
    <xf numFmtId="3" fontId="65" fillId="0" borderId="72" xfId="3" applyNumberFormat="1" applyFont="1" applyBorder="1"/>
    <xf numFmtId="3" fontId="65" fillId="0" borderId="64" xfId="3" applyNumberFormat="1" applyFont="1" applyBorder="1"/>
    <xf numFmtId="3" fontId="65" fillId="0" borderId="99" xfId="3" applyNumberFormat="1" applyFont="1" applyBorder="1"/>
    <xf numFmtId="3" fontId="65" fillId="0" borderId="97" xfId="3" applyNumberFormat="1" applyFont="1" applyBorder="1"/>
    <xf numFmtId="3" fontId="65" fillId="0" borderId="124" xfId="3" applyNumberFormat="1" applyFont="1" applyBorder="1"/>
    <xf numFmtId="3" fontId="65" fillId="0" borderId="67" xfId="3" applyNumberFormat="1" applyFont="1" applyBorder="1"/>
    <xf numFmtId="3" fontId="65" fillId="0" borderId="94" xfId="3" applyNumberFormat="1" applyFont="1" applyBorder="1"/>
    <xf numFmtId="3" fontId="65" fillId="0" borderId="166" xfId="3" applyNumberFormat="1" applyFont="1" applyBorder="1"/>
    <xf numFmtId="3" fontId="65" fillId="0" borderId="149" xfId="3" applyNumberFormat="1" applyFont="1" applyBorder="1"/>
    <xf numFmtId="3" fontId="65" fillId="0" borderId="171" xfId="3" applyNumberFormat="1" applyFont="1" applyBorder="1"/>
    <xf numFmtId="49" fontId="21" fillId="0" borderId="75" xfId="5" applyNumberFormat="1" applyFont="1" applyBorder="1" applyAlignment="1">
      <alignment horizontal="center" vertical="center" wrapText="1"/>
    </xf>
    <xf numFmtId="3" fontId="7" fillId="0" borderId="149" xfId="5" applyNumberFormat="1" applyFont="1" applyBorder="1"/>
    <xf numFmtId="3" fontId="7" fillId="0" borderId="168" xfId="5" applyNumberFormat="1" applyFont="1" applyBorder="1"/>
    <xf numFmtId="3" fontId="1" fillId="0" borderId="84" xfId="5" applyNumberFormat="1" applyBorder="1"/>
    <xf numFmtId="49" fontId="64" fillId="0" borderId="85" xfId="5" applyNumberFormat="1" applyFont="1" applyBorder="1" applyAlignment="1">
      <alignment horizontal="center" vertical="center" wrapText="1"/>
    </xf>
    <xf numFmtId="49" fontId="64" fillId="0" borderId="127" xfId="5" applyNumberFormat="1" applyFont="1" applyBorder="1" applyAlignment="1">
      <alignment horizontal="center" vertical="center" wrapText="1"/>
    </xf>
    <xf numFmtId="3" fontId="7" fillId="0" borderId="87" xfId="5" applyNumberFormat="1" applyFont="1" applyBorder="1" applyAlignment="1">
      <alignment horizontal="right"/>
    </xf>
    <xf numFmtId="3" fontId="7" fillId="0" borderId="87" xfId="5" applyNumberFormat="1" applyFont="1" applyBorder="1"/>
    <xf numFmtId="49" fontId="21" fillId="0" borderId="161" xfId="5" applyNumberFormat="1" applyFont="1" applyBorder="1" applyAlignment="1">
      <alignment vertical="center" wrapText="1"/>
    </xf>
    <xf numFmtId="49" fontId="21" fillId="0" borderId="88" xfId="5" applyNumberFormat="1" applyFont="1" applyBorder="1" applyAlignment="1">
      <alignment horizontal="center" vertical="center" wrapText="1"/>
    </xf>
    <xf numFmtId="3" fontId="1" fillId="0" borderId="91" xfId="5" applyNumberFormat="1" applyBorder="1"/>
    <xf numFmtId="3" fontId="1" fillId="0" borderId="87" xfId="5" applyNumberFormat="1" applyBorder="1"/>
    <xf numFmtId="3" fontId="7" fillId="0" borderId="91" xfId="5" applyNumberFormat="1" applyFont="1" applyBorder="1"/>
    <xf numFmtId="3" fontId="1" fillId="0" borderId="88" xfId="5" applyNumberFormat="1" applyBorder="1"/>
    <xf numFmtId="3" fontId="7" fillId="0" borderId="176" xfId="5" applyNumberFormat="1" applyFont="1" applyBorder="1"/>
    <xf numFmtId="3" fontId="65" fillId="0" borderId="87" xfId="3" applyNumberFormat="1" applyFont="1" applyBorder="1"/>
    <xf numFmtId="0" fontId="13" fillId="0" borderId="0" xfId="0" applyFont="1"/>
    <xf numFmtId="0" fontId="31" fillId="0" borderId="71" xfId="0" applyFont="1" applyBorder="1" applyAlignment="1">
      <alignment horizontal="center" vertical="center" wrapText="1"/>
    </xf>
    <xf numFmtId="0" fontId="31" fillId="0" borderId="60" xfId="0" applyFont="1" applyBorder="1" applyAlignment="1">
      <alignment horizontal="center" vertical="center" wrapText="1"/>
    </xf>
    <xf numFmtId="0" fontId="31" fillId="0" borderId="137" xfId="0" applyFont="1" applyBorder="1" applyAlignment="1">
      <alignment horizontal="center" vertical="center" wrapText="1"/>
    </xf>
    <xf numFmtId="0" fontId="73" fillId="0" borderId="88" xfId="0" applyFont="1" applyBorder="1" applyAlignment="1">
      <alignment horizontal="center" vertical="center" wrapText="1"/>
    </xf>
    <xf numFmtId="0" fontId="73" fillId="0" borderId="85" xfId="0" applyFont="1" applyBorder="1" applyAlignment="1">
      <alignment horizontal="center" vertical="center" wrapText="1"/>
    </xf>
    <xf numFmtId="0" fontId="13" fillId="0" borderId="150" xfId="0" applyFont="1" applyBorder="1"/>
    <xf numFmtId="0" fontId="13" fillId="0" borderId="77" xfId="0" applyFont="1" applyBorder="1"/>
    <xf numFmtId="0" fontId="13" fillId="0" borderId="87" xfId="0" applyFont="1" applyBorder="1"/>
    <xf numFmtId="0" fontId="13" fillId="0" borderId="86" xfId="0" applyFont="1" applyBorder="1"/>
    <xf numFmtId="0" fontId="13" fillId="0" borderId="161" xfId="0" applyFont="1" applyBorder="1"/>
    <xf numFmtId="0" fontId="13" fillId="0" borderId="75" xfId="0" applyFont="1" applyBorder="1"/>
    <xf numFmtId="0" fontId="13" fillId="0" borderId="88" xfId="0" applyFont="1" applyBorder="1"/>
    <xf numFmtId="0" fontId="13" fillId="0" borderId="85" xfId="0" applyFont="1" applyBorder="1"/>
    <xf numFmtId="0" fontId="13" fillId="0" borderId="91" xfId="0" applyFont="1" applyBorder="1"/>
    <xf numFmtId="0" fontId="13" fillId="0" borderId="84" xfId="0" applyFont="1" applyBorder="1"/>
    <xf numFmtId="3" fontId="76" fillId="0" borderId="128" xfId="0" applyNumberFormat="1" applyFont="1" applyBorder="1"/>
    <xf numFmtId="3" fontId="76" fillId="0" borderId="94" xfId="0" applyNumberFormat="1" applyFont="1" applyBorder="1"/>
    <xf numFmtId="3" fontId="76" fillId="0" borderId="166" xfId="0" applyNumberFormat="1" applyFont="1" applyBorder="1"/>
    <xf numFmtId="3" fontId="76" fillId="0" borderId="86" xfId="0" applyNumberFormat="1" applyFont="1" applyBorder="1"/>
    <xf numFmtId="3" fontId="76" fillId="0" borderId="87" xfId="0" applyNumberFormat="1" applyFont="1" applyBorder="1"/>
    <xf numFmtId="0" fontId="76" fillId="0" borderId="0" xfId="0" applyFont="1"/>
    <xf numFmtId="0" fontId="77" fillId="0" borderId="0" xfId="0" applyFont="1"/>
    <xf numFmtId="0" fontId="31" fillId="0" borderId="95" xfId="3" applyFont="1" applyBorder="1" applyAlignment="1">
      <alignment horizontal="right" vertical="center"/>
    </xf>
    <xf numFmtId="0" fontId="29" fillId="0" borderId="158" xfId="3" applyFont="1" applyBorder="1" applyAlignment="1">
      <alignment horizontal="left" vertical="center"/>
    </xf>
    <xf numFmtId="3" fontId="66" fillId="0" borderId="95" xfId="3" applyNumberFormat="1" applyFont="1" applyBorder="1"/>
    <xf numFmtId="0" fontId="74" fillId="0" borderId="95" xfId="6" applyFont="1" applyBorder="1"/>
    <xf numFmtId="0" fontId="75" fillId="0" borderId="95" xfId="6" applyFont="1" applyBorder="1"/>
    <xf numFmtId="0" fontId="31" fillId="0" borderId="130" xfId="5" applyFont="1" applyBorder="1"/>
    <xf numFmtId="0" fontId="68" fillId="0" borderId="0" xfId="5" applyFont="1"/>
    <xf numFmtId="0" fontId="68" fillId="0" borderId="164" xfId="5" applyFont="1" applyBorder="1"/>
    <xf numFmtId="0" fontId="31" fillId="0" borderId="95" xfId="5" applyFont="1" applyBorder="1"/>
    <xf numFmtId="3" fontId="31" fillId="0" borderId="150" xfId="3" applyNumberFormat="1" applyFont="1" applyBorder="1" applyAlignment="1">
      <alignment horizontal="right" vertical="center"/>
    </xf>
    <xf numFmtId="0" fontId="34" fillId="0" borderId="5" xfId="0" applyFont="1" applyBorder="1" applyAlignment="1">
      <alignment horizontal="left"/>
    </xf>
    <xf numFmtId="3" fontId="14" fillId="0" borderId="95" xfId="1" applyNumberFormat="1" applyFont="1" applyBorder="1" applyAlignment="1">
      <alignment vertical="center"/>
    </xf>
    <xf numFmtId="3" fontId="34" fillId="0" borderId="122" xfId="1" applyNumberFormat="1" applyFont="1" applyBorder="1"/>
    <xf numFmtId="3" fontId="34" fillId="0" borderId="78" xfId="1" applyNumberFormat="1" applyFont="1" applyBorder="1"/>
    <xf numFmtId="3" fontId="34" fillId="0" borderId="123" xfId="1" applyNumberFormat="1" applyFont="1" applyBorder="1"/>
    <xf numFmtId="0" fontId="20" fillId="0" borderId="169" xfId="1" applyFont="1" applyBorder="1"/>
    <xf numFmtId="0" fontId="20" fillId="0" borderId="133" xfId="1" applyFont="1" applyBorder="1"/>
    <xf numFmtId="0" fontId="20" fillId="0" borderId="173" xfId="1" applyFont="1" applyBorder="1"/>
    <xf numFmtId="3" fontId="44" fillId="0" borderId="94" xfId="1" applyNumberFormat="1" applyFont="1" applyBorder="1"/>
    <xf numFmtId="3" fontId="44" fillId="0" borderId="128" xfId="1" applyNumberFormat="1" applyFont="1" applyBorder="1"/>
    <xf numFmtId="3" fontId="44" fillId="0" borderId="166" xfId="1" applyNumberFormat="1" applyFont="1" applyBorder="1"/>
    <xf numFmtId="4" fontId="34" fillId="0" borderId="13" xfId="0" applyNumberFormat="1" applyFont="1" applyBorder="1"/>
    <xf numFmtId="3" fontId="2" fillId="0" borderId="180" xfId="1" applyNumberFormat="1" applyFont="1" applyBorder="1" applyAlignment="1">
      <alignment horizontal="right"/>
    </xf>
    <xf numFmtId="0" fontId="23" fillId="0" borderId="181" xfId="1" applyFont="1" applyBorder="1"/>
    <xf numFmtId="0" fontId="24" fillId="0" borderId="182" xfId="1" applyFont="1" applyBorder="1"/>
    <xf numFmtId="3" fontId="13" fillId="0" borderId="0" xfId="0" applyNumberFormat="1" applyFont="1"/>
    <xf numFmtId="4" fontId="20" fillId="0" borderId="130" xfId="1" applyNumberFormat="1" applyFont="1" applyBorder="1" applyAlignment="1">
      <alignment horizontal="center" wrapText="1"/>
    </xf>
    <xf numFmtId="0" fontId="55" fillId="0" borderId="115" xfId="0" applyFont="1" applyBorder="1" applyAlignment="1">
      <alignment horizontal="center" vertical="center"/>
    </xf>
    <xf numFmtId="3" fontId="60" fillId="0" borderId="0" xfId="0" applyNumberFormat="1" applyFont="1"/>
    <xf numFmtId="3" fontId="31" fillId="0" borderId="94" xfId="5" applyNumberFormat="1" applyFont="1" applyBorder="1" applyAlignment="1">
      <alignment horizontal="right" vertical="center" wrapText="1"/>
    </xf>
    <xf numFmtId="3" fontId="7" fillId="0" borderId="157" xfId="5" applyNumberFormat="1" applyFont="1" applyBorder="1" applyAlignment="1">
      <alignment horizontal="right" vertical="center" wrapText="1"/>
    </xf>
    <xf numFmtId="3" fontId="76" fillId="0" borderId="147" xfId="0" applyNumberFormat="1" applyFont="1" applyBorder="1"/>
    <xf numFmtId="3" fontId="65" fillId="0" borderId="157" xfId="5" applyNumberFormat="1" applyFont="1" applyBorder="1" applyAlignment="1">
      <alignment horizontal="right" vertical="center" wrapText="1"/>
    </xf>
    <xf numFmtId="3" fontId="67" fillId="0" borderId="86" xfId="3" applyNumberFormat="1" applyFont="1" applyBorder="1"/>
    <xf numFmtId="3" fontId="67" fillId="0" borderId="87" xfId="3" applyNumberFormat="1" applyFont="1" applyBorder="1"/>
    <xf numFmtId="3" fontId="65" fillId="0" borderId="138" xfId="3" applyNumberFormat="1" applyFont="1" applyBorder="1"/>
    <xf numFmtId="3" fontId="65" fillId="0" borderId="165" xfId="3" applyNumberFormat="1" applyFont="1" applyBorder="1"/>
    <xf numFmtId="3" fontId="65" fillId="0" borderId="167" xfId="3" applyNumberFormat="1" applyFont="1" applyBorder="1"/>
    <xf numFmtId="3" fontId="65" fillId="0" borderId="92" xfId="3" applyNumberFormat="1" applyFont="1" applyBorder="1"/>
    <xf numFmtId="3" fontId="31" fillId="0" borderId="86" xfId="3" applyNumberFormat="1" applyFont="1" applyBorder="1" applyAlignment="1">
      <alignment horizontal="right" vertical="center"/>
    </xf>
    <xf numFmtId="3" fontId="1" fillId="0" borderId="84" xfId="5" applyNumberFormat="1" applyBorder="1" applyAlignment="1">
      <alignment horizontal="right" vertical="center"/>
    </xf>
    <xf numFmtId="3" fontId="65" fillId="0" borderId="115" xfId="3" applyNumberFormat="1" applyFont="1" applyBorder="1"/>
    <xf numFmtId="3" fontId="65" fillId="0" borderId="125" xfId="3" applyNumberFormat="1" applyFont="1" applyBorder="1"/>
    <xf numFmtId="3" fontId="65" fillId="0" borderId="132" xfId="3" applyNumberFormat="1" applyFont="1" applyBorder="1"/>
    <xf numFmtId="0" fontId="31" fillId="0" borderId="92" xfId="3" applyFont="1" applyBorder="1" applyAlignment="1">
      <alignment horizontal="center" vertical="center" wrapText="1"/>
    </xf>
    <xf numFmtId="4" fontId="13" fillId="0" borderId="0" xfId="0" applyNumberFormat="1" applyFont="1"/>
    <xf numFmtId="0" fontId="31" fillId="0" borderId="127" xfId="3" applyFont="1" applyBorder="1" applyAlignment="1">
      <alignment horizontal="center" vertical="center"/>
    </xf>
    <xf numFmtId="3" fontId="31" fillId="0" borderId="85" xfId="5" applyNumberFormat="1" applyFont="1" applyBorder="1" applyAlignment="1">
      <alignment horizontal="right" vertical="center" wrapText="1"/>
    </xf>
    <xf numFmtId="3" fontId="31" fillId="0" borderId="162" xfId="3" applyNumberFormat="1" applyFont="1" applyBorder="1" applyAlignment="1">
      <alignment horizontal="right" vertical="center" wrapText="1"/>
    </xf>
    <xf numFmtId="3" fontId="7" fillId="0" borderId="146" xfId="5" applyNumberFormat="1" applyFont="1" applyBorder="1" applyAlignment="1">
      <alignment horizontal="right" vertical="center" wrapText="1"/>
    </xf>
    <xf numFmtId="3" fontId="7" fillId="0" borderId="128" xfId="5" applyNumberFormat="1" applyFont="1" applyBorder="1" applyAlignment="1">
      <alignment horizontal="right" vertical="center" wrapText="1"/>
    </xf>
    <xf numFmtId="4" fontId="21" fillId="0" borderId="142" xfId="1" applyNumberFormat="1" applyFont="1" applyBorder="1" applyAlignment="1">
      <alignment horizontal="center" vertical="center" wrapText="1"/>
    </xf>
    <xf numFmtId="4" fontId="21" fillId="0" borderId="144" xfId="1" applyNumberFormat="1" applyFont="1" applyBorder="1" applyAlignment="1">
      <alignment horizontal="center" vertical="center" wrapText="1"/>
    </xf>
    <xf numFmtId="4" fontId="21" fillId="0" borderId="141" xfId="1" applyNumberFormat="1" applyFont="1" applyBorder="1" applyAlignment="1">
      <alignment horizontal="center" vertical="center" wrapText="1"/>
    </xf>
    <xf numFmtId="4" fontId="2" fillId="0" borderId="143" xfId="1" applyNumberFormat="1" applyFont="1" applyBorder="1" applyAlignment="1">
      <alignment horizontal="right"/>
    </xf>
    <xf numFmtId="4" fontId="2" fillId="0" borderId="180" xfId="1" applyNumberFormat="1" applyFont="1" applyBorder="1" applyAlignment="1">
      <alignment horizontal="right"/>
    </xf>
    <xf numFmtId="4" fontId="2" fillId="0" borderId="153" xfId="1" applyNumberFormat="1" applyFont="1" applyBorder="1" applyAlignment="1">
      <alignment horizontal="right"/>
    </xf>
    <xf numFmtId="4" fontId="1" fillId="0" borderId="150" xfId="1" applyNumberFormat="1" applyBorder="1"/>
    <xf numFmtId="4" fontId="1" fillId="0" borderId="77" xfId="1" applyNumberFormat="1" applyBorder="1"/>
    <xf numFmtId="4" fontId="1" fillId="0" borderId="91" xfId="1" applyNumberFormat="1" applyBorder="1"/>
    <xf numFmtId="4" fontId="44" fillId="0" borderId="71" xfId="1" applyNumberFormat="1" applyFont="1" applyBorder="1"/>
    <xf numFmtId="4" fontId="44" fillId="0" borderId="61" xfId="1" applyNumberFormat="1" applyFont="1" applyBorder="1"/>
    <xf numFmtId="4" fontId="44" fillId="0" borderId="137" xfId="1" applyNumberFormat="1" applyFont="1" applyBorder="1"/>
    <xf numFmtId="4" fontId="51" fillId="0" borderId="72" xfId="1" applyNumberFormat="1" applyFont="1" applyBorder="1"/>
    <xf numFmtId="4" fontId="51" fillId="0" borderId="56" xfId="1" applyNumberFormat="1" applyFont="1" applyBorder="1"/>
    <xf numFmtId="4" fontId="51" fillId="0" borderId="138" xfId="1" applyNumberFormat="1" applyFont="1" applyBorder="1"/>
    <xf numFmtId="4" fontId="51" fillId="0" borderId="99" xfId="1" applyNumberFormat="1" applyFont="1" applyBorder="1"/>
    <xf numFmtId="4" fontId="51" fillId="0" borderId="66" xfId="1" applyNumberFormat="1" applyFont="1" applyBorder="1"/>
    <xf numFmtId="4" fontId="51" fillId="0" borderId="165" xfId="1" applyNumberFormat="1" applyFont="1" applyBorder="1"/>
    <xf numFmtId="4" fontId="47" fillId="0" borderId="66" xfId="1" applyNumberFormat="1" applyFont="1" applyBorder="1" applyAlignment="1">
      <alignment horizontal="right"/>
    </xf>
    <xf numFmtId="4" fontId="47" fillId="0" borderId="165" xfId="1" applyNumberFormat="1" applyFont="1" applyBorder="1" applyAlignment="1">
      <alignment horizontal="right"/>
    </xf>
    <xf numFmtId="4" fontId="44" fillId="0" borderId="94" xfId="1" applyNumberFormat="1" applyFont="1" applyBorder="1"/>
    <xf numFmtId="4" fontId="44" fillId="0" borderId="128" xfId="1" applyNumberFormat="1" applyFont="1" applyBorder="1"/>
    <xf numFmtId="4" fontId="44" fillId="0" borderId="87" xfId="1" applyNumberFormat="1" applyFont="1" applyBorder="1"/>
    <xf numFmtId="4" fontId="51" fillId="0" borderId="73" xfId="1" applyNumberFormat="1" applyFont="1" applyBorder="1"/>
    <xf numFmtId="4" fontId="51" fillId="0" borderId="69" xfId="1" applyNumberFormat="1" applyFont="1" applyBorder="1"/>
    <xf numFmtId="4" fontId="51" fillId="0" borderId="139" xfId="1" applyNumberFormat="1" applyFont="1" applyBorder="1"/>
    <xf numFmtId="4" fontId="14" fillId="0" borderId="86" xfId="1" applyNumberFormat="1" applyFont="1" applyBorder="1" applyAlignment="1">
      <alignment horizontal="center" wrapText="1"/>
    </xf>
    <xf numFmtId="4" fontId="37" fillId="0" borderId="115" xfId="1" applyNumberFormat="1" applyFont="1" applyBorder="1"/>
    <xf numFmtId="4" fontId="37" fillId="0" borderId="125" xfId="1" applyNumberFormat="1" applyFont="1" applyBorder="1"/>
    <xf numFmtId="4" fontId="37" fillId="0" borderId="126" xfId="1" applyNumberFormat="1" applyFont="1" applyBorder="1"/>
    <xf numFmtId="4" fontId="37" fillId="0" borderId="137" xfId="1" applyNumberFormat="1" applyFont="1" applyBorder="1"/>
    <xf numFmtId="4" fontId="37" fillId="0" borderId="138" xfId="1" applyNumberFormat="1" applyFont="1" applyBorder="1"/>
    <xf numFmtId="4" fontId="37" fillId="0" borderId="139" xfId="1" applyNumberFormat="1" applyFont="1" applyBorder="1"/>
    <xf numFmtId="3" fontId="65" fillId="0" borderId="147" xfId="3" applyNumberFormat="1" applyFont="1" applyBorder="1"/>
    <xf numFmtId="3" fontId="65" fillId="0" borderId="76" xfId="3" applyNumberFormat="1" applyFont="1" applyBorder="1"/>
    <xf numFmtId="0" fontId="80" fillId="0" borderId="167" xfId="0" applyFont="1" applyBorder="1"/>
    <xf numFmtId="3" fontId="80" fillId="0" borderId="179" xfId="0" applyNumberFormat="1" applyFont="1" applyBorder="1"/>
    <xf numFmtId="0" fontId="80" fillId="0" borderId="138" xfId="0" applyFont="1" applyBorder="1"/>
    <xf numFmtId="3" fontId="80" fillId="0" borderId="133" xfId="0" applyNumberFormat="1" applyFont="1" applyBorder="1"/>
    <xf numFmtId="0" fontId="82" fillId="0" borderId="138" xfId="0" applyFont="1" applyBorder="1"/>
    <xf numFmtId="0" fontId="84" fillId="0" borderId="86" xfId="0" applyFont="1" applyBorder="1"/>
    <xf numFmtId="0" fontId="83" fillId="0" borderId="87" xfId="0" applyFont="1" applyBorder="1"/>
    <xf numFmtId="3" fontId="83" fillId="0" borderId="114" xfId="0" applyNumberFormat="1" applyFont="1" applyBorder="1"/>
    <xf numFmtId="4" fontId="83" fillId="0" borderId="114" xfId="0" applyNumberFormat="1" applyFont="1" applyBorder="1"/>
    <xf numFmtId="4" fontId="81" fillId="0" borderId="115" xfId="0" applyNumberFormat="1" applyFont="1" applyBorder="1"/>
    <xf numFmtId="4" fontId="81" fillId="0" borderId="125" xfId="0" applyNumberFormat="1" applyFont="1" applyBorder="1"/>
    <xf numFmtId="3" fontId="81" fillId="0" borderId="115" xfId="0" applyNumberFormat="1" applyFont="1" applyBorder="1"/>
    <xf numFmtId="3" fontId="81" fillId="0" borderId="125" xfId="0" applyNumberFormat="1" applyFont="1" applyBorder="1"/>
    <xf numFmtId="3" fontId="83" fillId="0" borderId="86" xfId="0" applyNumberFormat="1" applyFont="1" applyBorder="1"/>
    <xf numFmtId="3" fontId="31" fillId="0" borderId="147" xfId="3" applyNumberFormat="1" applyFont="1" applyBorder="1" applyAlignment="1">
      <alignment horizontal="right" vertical="center"/>
    </xf>
    <xf numFmtId="3" fontId="67" fillId="0" borderId="147" xfId="3" applyNumberFormat="1" applyFont="1" applyBorder="1"/>
    <xf numFmtId="3" fontId="67" fillId="0" borderId="128" xfId="3" applyNumberFormat="1" applyFont="1" applyBorder="1"/>
    <xf numFmtId="2" fontId="1" fillId="0" borderId="0" xfId="1" applyNumberFormat="1"/>
    <xf numFmtId="0" fontId="31" fillId="0" borderId="92" xfId="3" applyFont="1" applyBorder="1" applyAlignment="1">
      <alignment horizontal="center" vertical="center"/>
    </xf>
    <xf numFmtId="3" fontId="31" fillId="0" borderId="87" xfId="3" applyNumberFormat="1" applyFont="1" applyBorder="1" applyAlignment="1">
      <alignment horizontal="right" vertical="center"/>
    </xf>
    <xf numFmtId="3" fontId="31" fillId="0" borderId="88" xfId="5" applyNumberFormat="1" applyFont="1" applyBorder="1" applyAlignment="1">
      <alignment horizontal="right" vertical="center" wrapText="1"/>
    </xf>
    <xf numFmtId="3" fontId="76" fillId="0" borderId="130" xfId="0" applyNumberFormat="1" applyFont="1" applyBorder="1"/>
    <xf numFmtId="4" fontId="34" fillId="0" borderId="55" xfId="0" applyNumberFormat="1" applyFont="1" applyBorder="1"/>
    <xf numFmtId="0" fontId="73" fillId="0" borderId="127" xfId="0" applyFont="1" applyBorder="1" applyAlignment="1">
      <alignment horizontal="center" vertical="center" wrapText="1"/>
    </xf>
    <xf numFmtId="0" fontId="73" fillId="0" borderId="0" xfId="0" applyFont="1"/>
    <xf numFmtId="0" fontId="34" fillId="0" borderId="84" xfId="0" applyFont="1" applyBorder="1" applyAlignment="1">
      <alignment horizontal="left"/>
    </xf>
    <xf numFmtId="49" fontId="68" fillId="0" borderId="97" xfId="3" applyNumberFormat="1" applyFont="1" applyBorder="1"/>
    <xf numFmtId="0" fontId="31" fillId="0" borderId="154" xfId="3" applyFont="1" applyBorder="1"/>
    <xf numFmtId="3" fontId="65" fillId="0" borderId="156" xfId="3" applyNumberFormat="1" applyFont="1" applyBorder="1"/>
    <xf numFmtId="3" fontId="1" fillId="0" borderId="115" xfId="5" applyNumberFormat="1" applyBorder="1"/>
    <xf numFmtId="3" fontId="1" fillId="0" borderId="97" xfId="5" applyNumberFormat="1" applyBorder="1"/>
    <xf numFmtId="49" fontId="68" fillId="0" borderId="72" xfId="3" applyNumberFormat="1" applyFont="1" applyBorder="1"/>
    <xf numFmtId="0" fontId="31" fillId="0" borderId="78" xfId="3" applyFont="1" applyBorder="1"/>
    <xf numFmtId="3" fontId="1" fillId="0" borderId="125" xfId="5" applyNumberFormat="1" applyBorder="1"/>
    <xf numFmtId="49" fontId="68" fillId="0" borderId="99" xfId="3" applyNumberFormat="1" applyFont="1" applyBorder="1"/>
    <xf numFmtId="0" fontId="31" fillId="0" borderId="148" xfId="3" applyFont="1" applyBorder="1"/>
    <xf numFmtId="3" fontId="1" fillId="0" borderId="169" xfId="5" applyNumberFormat="1" applyBorder="1"/>
    <xf numFmtId="3" fontId="65" fillId="0" borderId="161" xfId="3" applyNumberFormat="1" applyFont="1" applyBorder="1"/>
    <xf numFmtId="3" fontId="65" fillId="0" borderId="75" xfId="3" applyNumberFormat="1" applyFont="1" applyBorder="1"/>
    <xf numFmtId="0" fontId="13" fillId="0" borderId="73" xfId="0" applyFont="1" applyBorder="1"/>
    <xf numFmtId="0" fontId="13" fillId="0" borderId="69" xfId="0" applyFont="1" applyBorder="1"/>
    <xf numFmtId="0" fontId="13" fillId="0" borderId="139" xfId="0" applyFont="1" applyBorder="1"/>
    <xf numFmtId="0" fontId="13" fillId="0" borderId="173" xfId="0" applyFont="1" applyBorder="1"/>
    <xf numFmtId="0" fontId="13" fillId="0" borderId="126" xfId="0" applyFont="1" applyBorder="1"/>
    <xf numFmtId="3" fontId="65" fillId="0" borderId="171" xfId="0" applyNumberFormat="1" applyFont="1" applyBorder="1"/>
    <xf numFmtId="3" fontId="65" fillId="0" borderId="92" xfId="0" applyNumberFormat="1" applyFont="1" applyBorder="1"/>
    <xf numFmtId="3" fontId="65" fillId="0" borderId="131" xfId="0" applyNumberFormat="1" applyFont="1" applyBorder="1"/>
    <xf numFmtId="3" fontId="65" fillId="0" borderId="86" xfId="0" applyNumberFormat="1" applyFont="1" applyBorder="1"/>
    <xf numFmtId="3" fontId="65" fillId="0" borderId="94" xfId="0" applyNumberFormat="1" applyFont="1" applyBorder="1"/>
    <xf numFmtId="3" fontId="65" fillId="0" borderId="128" xfId="0" applyNumberFormat="1" applyFont="1" applyBorder="1"/>
    <xf numFmtId="3" fontId="65" fillId="0" borderId="95" xfId="0" applyNumberFormat="1" applyFont="1" applyBorder="1"/>
    <xf numFmtId="3" fontId="65" fillId="0" borderId="130" xfId="0" applyNumberFormat="1" applyFont="1" applyBorder="1"/>
    <xf numFmtId="3" fontId="65" fillId="0" borderId="166" xfId="0" applyNumberFormat="1" applyFont="1" applyBorder="1"/>
    <xf numFmtId="3" fontId="65" fillId="0" borderId="87" xfId="0" applyNumberFormat="1" applyFont="1" applyBorder="1"/>
    <xf numFmtId="4" fontId="14" fillId="0" borderId="55" xfId="0" applyNumberFormat="1" applyFont="1" applyBorder="1"/>
    <xf numFmtId="4" fontId="14" fillId="0" borderId="0" xfId="0" applyNumberFormat="1" applyFont="1"/>
    <xf numFmtId="4" fontId="1" fillId="0" borderId="146" xfId="1" applyNumberFormat="1" applyBorder="1"/>
    <xf numFmtId="3" fontId="51" fillId="0" borderId="0" xfId="0" applyNumberFormat="1" applyFont="1"/>
    <xf numFmtId="3" fontId="51" fillId="0" borderId="165" xfId="1" applyNumberFormat="1" applyFont="1" applyBorder="1"/>
    <xf numFmtId="3" fontId="47" fillId="0" borderId="165" xfId="1" applyNumberFormat="1" applyFont="1" applyBorder="1" applyAlignment="1">
      <alignment horizontal="right"/>
    </xf>
    <xf numFmtId="3" fontId="44" fillId="0" borderId="87" xfId="1" applyNumberFormat="1" applyFont="1" applyBorder="1"/>
    <xf numFmtId="3" fontId="51" fillId="0" borderId="139" xfId="1" applyNumberFormat="1" applyFont="1" applyBorder="1"/>
    <xf numFmtId="0" fontId="80" fillId="0" borderId="125" xfId="0" applyFont="1" applyBorder="1"/>
    <xf numFmtId="4" fontId="55" fillId="0" borderId="0" xfId="0" applyNumberFormat="1" applyFont="1"/>
    <xf numFmtId="4" fontId="55" fillId="0" borderId="55" xfId="0" applyNumberFormat="1" applyFont="1" applyBorder="1"/>
    <xf numFmtId="4" fontId="81" fillId="0" borderId="133" xfId="0" applyNumberFormat="1" applyFont="1" applyBorder="1"/>
    <xf numFmtId="3" fontId="31" fillId="0" borderId="71" xfId="3" applyNumberFormat="1" applyFont="1" applyBorder="1"/>
    <xf numFmtId="3" fontId="65" fillId="0" borderId="61" xfId="3" applyNumberFormat="1" applyFont="1" applyBorder="1"/>
    <xf numFmtId="3" fontId="65" fillId="0" borderId="62" xfId="3" applyNumberFormat="1" applyFont="1" applyBorder="1"/>
    <xf numFmtId="3" fontId="65" fillId="0" borderId="154" xfId="3" applyNumberFormat="1" applyFont="1" applyBorder="1"/>
    <xf numFmtId="3" fontId="65" fillId="0" borderId="127" xfId="3" applyNumberFormat="1" applyFont="1" applyBorder="1"/>
    <xf numFmtId="3" fontId="65" fillId="0" borderId="137" xfId="3" applyNumberFormat="1" applyFont="1" applyBorder="1"/>
    <xf numFmtId="3" fontId="1" fillId="0" borderId="167" xfId="5" applyNumberFormat="1" applyBorder="1"/>
    <xf numFmtId="3" fontId="31" fillId="0" borderId="72" xfId="3" applyNumberFormat="1" applyFont="1" applyBorder="1"/>
    <xf numFmtId="3" fontId="1" fillId="0" borderId="72" xfId="5" applyNumberFormat="1" applyBorder="1"/>
    <xf numFmtId="3" fontId="1" fillId="0" borderId="138" xfId="5" applyNumberFormat="1" applyBorder="1"/>
    <xf numFmtId="3" fontId="1" fillId="0" borderId="125" xfId="3" applyNumberFormat="1" applyBorder="1"/>
    <xf numFmtId="3" fontId="65" fillId="0" borderId="78" xfId="3" applyNumberFormat="1" applyFont="1" applyBorder="1"/>
    <xf numFmtId="3" fontId="31" fillId="0" borderId="97" xfId="3" applyNumberFormat="1" applyFont="1" applyBorder="1"/>
    <xf numFmtId="3" fontId="65" fillId="0" borderId="69" xfId="3" applyNumberFormat="1" applyFont="1" applyBorder="1"/>
    <xf numFmtId="3" fontId="65" fillId="0" borderId="65" xfId="3" applyNumberFormat="1" applyFont="1" applyBorder="1"/>
    <xf numFmtId="3" fontId="65" fillId="0" borderId="0" xfId="3" applyNumberFormat="1" applyFont="1"/>
    <xf numFmtId="3" fontId="65" fillId="0" borderId="139" xfId="3" applyNumberFormat="1" applyFont="1" applyBorder="1"/>
    <xf numFmtId="3" fontId="65" fillId="0" borderId="70" xfId="3" applyNumberFormat="1" applyFont="1" applyBorder="1"/>
    <xf numFmtId="3" fontId="1" fillId="0" borderId="177" xfId="5" applyNumberFormat="1" applyBorder="1"/>
    <xf numFmtId="3" fontId="1" fillId="0" borderId="99" xfId="5" applyNumberFormat="1" applyBorder="1"/>
    <xf numFmtId="3" fontId="1" fillId="0" borderId="165" xfId="5" applyNumberFormat="1" applyBorder="1"/>
    <xf numFmtId="0" fontId="13" fillId="0" borderId="99" xfId="0" applyFont="1" applyBorder="1"/>
    <xf numFmtId="0" fontId="13" fillId="0" borderId="66" xfId="0" applyFont="1" applyBorder="1"/>
    <xf numFmtId="0" fontId="13" fillId="0" borderId="165" xfId="0" applyFont="1" applyBorder="1"/>
    <xf numFmtId="0" fontId="13" fillId="0" borderId="177" xfId="0" applyFont="1" applyBorder="1"/>
    <xf numFmtId="3" fontId="7" fillId="0" borderId="166" xfId="5" applyNumberFormat="1" applyFont="1" applyBorder="1"/>
    <xf numFmtId="3" fontId="7" fillId="0" borderId="147" xfId="5" applyNumberFormat="1" applyFont="1" applyBorder="1"/>
    <xf numFmtId="3" fontId="7" fillId="0" borderId="130" xfId="5" applyNumberFormat="1" applyFont="1" applyBorder="1"/>
    <xf numFmtId="3" fontId="65" fillId="0" borderId="71" xfId="3" applyNumberFormat="1" applyFont="1" applyBorder="1"/>
    <xf numFmtId="3" fontId="65" fillId="0" borderId="73" xfId="3" applyNumberFormat="1" applyFont="1" applyBorder="1"/>
    <xf numFmtId="3" fontId="65" fillId="0" borderId="123" xfId="3" applyNumberFormat="1" applyFont="1" applyBorder="1"/>
    <xf numFmtId="3" fontId="65" fillId="0" borderId="158" xfId="3" applyNumberFormat="1" applyFont="1" applyBorder="1"/>
    <xf numFmtId="3" fontId="1" fillId="0" borderId="61" xfId="5" applyNumberFormat="1" applyBorder="1"/>
    <xf numFmtId="3" fontId="1" fillId="0" borderId="137" xfId="5" applyNumberFormat="1" applyBorder="1"/>
    <xf numFmtId="0" fontId="13" fillId="0" borderId="127" xfId="0" applyFont="1" applyBorder="1"/>
    <xf numFmtId="3" fontId="65" fillId="0" borderId="63" xfId="3" applyNumberFormat="1" applyFont="1" applyBorder="1"/>
    <xf numFmtId="0" fontId="13" fillId="0" borderId="138" xfId="0" applyFont="1" applyBorder="1"/>
    <xf numFmtId="0" fontId="13" fillId="0" borderId="133" xfId="0" applyFont="1" applyBorder="1"/>
    <xf numFmtId="0" fontId="13" fillId="0" borderId="125" xfId="0" applyFont="1" applyBorder="1"/>
    <xf numFmtId="4" fontId="14" fillId="0" borderId="0" xfId="0" applyNumberFormat="1" applyFont="1" applyAlignment="1">
      <alignment horizontal="right"/>
    </xf>
    <xf numFmtId="4" fontId="20" fillId="0" borderId="0" xfId="0" applyNumberFormat="1" applyFont="1" applyAlignment="1">
      <alignment horizontal="right"/>
    </xf>
    <xf numFmtId="3" fontId="68" fillId="0" borderId="124" xfId="3" applyNumberFormat="1" applyFont="1" applyBorder="1"/>
    <xf numFmtId="3" fontId="70" fillId="0" borderId="115" xfId="5" applyNumberFormat="1" applyFont="1" applyBorder="1"/>
    <xf numFmtId="3" fontId="70" fillId="0" borderId="97" xfId="5" applyNumberFormat="1" applyFont="1" applyBorder="1"/>
    <xf numFmtId="0" fontId="13" fillId="0" borderId="92" xfId="0" applyFont="1" applyBorder="1"/>
    <xf numFmtId="0" fontId="13" fillId="0" borderId="132" xfId="0" applyFont="1" applyBorder="1"/>
    <xf numFmtId="3" fontId="68" fillId="0" borderId="64" xfId="3" applyNumberFormat="1" applyFont="1" applyBorder="1"/>
    <xf numFmtId="3" fontId="68" fillId="0" borderId="67" xfId="3" applyNumberFormat="1" applyFont="1" applyBorder="1"/>
    <xf numFmtId="3" fontId="65" fillId="0" borderId="177" xfId="3" applyNumberFormat="1" applyFont="1" applyBorder="1"/>
    <xf numFmtId="3" fontId="76" fillId="15" borderId="128" xfId="0" applyNumberFormat="1" applyFont="1" applyFill="1" applyBorder="1"/>
    <xf numFmtId="4" fontId="34" fillId="0" borderId="6" xfId="0" applyNumberFormat="1" applyFont="1" applyBorder="1"/>
    <xf numFmtId="4" fontId="34" fillId="0" borderId="9" xfId="0" applyNumberFormat="1" applyFont="1" applyBorder="1"/>
    <xf numFmtId="4" fontId="51" fillId="0" borderId="0" xfId="0" applyNumberFormat="1" applyFont="1"/>
    <xf numFmtId="4" fontId="62" fillId="0" borderId="0" xfId="0" applyNumberFormat="1" applyFont="1"/>
    <xf numFmtId="3" fontId="37" fillId="0" borderId="137" xfId="1" applyNumberFormat="1" applyFont="1" applyBorder="1"/>
    <xf numFmtId="3" fontId="37" fillId="0" borderId="138" xfId="1" applyNumberFormat="1" applyFont="1" applyBorder="1"/>
    <xf numFmtId="3" fontId="37" fillId="0" borderId="139" xfId="1" applyNumberFormat="1" applyFont="1" applyBorder="1"/>
    <xf numFmtId="0" fontId="55" fillId="0" borderId="84" xfId="0" applyFont="1" applyBorder="1" applyAlignment="1">
      <alignment horizontal="center" vertical="center"/>
    </xf>
    <xf numFmtId="3" fontId="65" fillId="0" borderId="149" xfId="0" applyNumberFormat="1" applyFont="1" applyBorder="1"/>
    <xf numFmtId="3" fontId="65" fillId="0" borderId="168" xfId="0" applyNumberFormat="1" applyFont="1" applyBorder="1"/>
    <xf numFmtId="3" fontId="65" fillId="0" borderId="76" xfId="0" applyNumberFormat="1" applyFont="1" applyBorder="1"/>
    <xf numFmtId="3" fontId="65" fillId="0" borderId="132" xfId="0" applyNumberFormat="1" applyFont="1" applyBorder="1"/>
    <xf numFmtId="3" fontId="76" fillId="16" borderId="94" xfId="0" applyNumberFormat="1" applyFont="1" applyFill="1" applyBorder="1"/>
    <xf numFmtId="3" fontId="76" fillId="17" borderId="95" xfId="0" applyNumberFormat="1" applyFont="1" applyFill="1" applyBorder="1"/>
    <xf numFmtId="3" fontId="77" fillId="16" borderId="94" xfId="0" applyNumberFormat="1" applyFont="1" applyFill="1" applyBorder="1"/>
    <xf numFmtId="3" fontId="77" fillId="15" borderId="128" xfId="0" applyNumberFormat="1" applyFont="1" applyFill="1" applyBorder="1"/>
    <xf numFmtId="3" fontId="77" fillId="17" borderId="95" xfId="0" applyNumberFormat="1" applyFont="1" applyFill="1" applyBorder="1"/>
    <xf numFmtId="3" fontId="76" fillId="15" borderId="86" xfId="0" applyNumberFormat="1" applyFont="1" applyFill="1" applyBorder="1"/>
    <xf numFmtId="3" fontId="76" fillId="17" borderId="87" xfId="0" applyNumberFormat="1" applyFont="1" applyFill="1" applyBorder="1"/>
    <xf numFmtId="3" fontId="77" fillId="15" borderId="86" xfId="0" applyNumberFormat="1" applyFont="1" applyFill="1" applyBorder="1"/>
    <xf numFmtId="3" fontId="77" fillId="17" borderId="87" xfId="0" applyNumberFormat="1" applyFont="1" applyFill="1" applyBorder="1"/>
    <xf numFmtId="3" fontId="13" fillId="16" borderId="0" xfId="0" applyNumberFormat="1" applyFont="1" applyFill="1"/>
    <xf numFmtId="3" fontId="13" fillId="15" borderId="0" xfId="0" applyNumberFormat="1" applyFont="1" applyFill="1"/>
    <xf numFmtId="3" fontId="13" fillId="17" borderId="0" xfId="0" applyNumberFormat="1" applyFont="1" applyFill="1"/>
    <xf numFmtId="3" fontId="34" fillId="0" borderId="183" xfId="0" applyNumberFormat="1" applyFont="1" applyBorder="1"/>
    <xf numFmtId="3" fontId="58" fillId="17" borderId="76" xfId="0" applyNumberFormat="1" applyFont="1" applyFill="1" applyBorder="1" applyAlignment="1">
      <alignment horizontal="center" vertical="center" wrapText="1"/>
    </xf>
    <xf numFmtId="3" fontId="58" fillId="15" borderId="168" xfId="0" applyNumberFormat="1" applyFont="1" applyFill="1" applyBorder="1" applyAlignment="1">
      <alignment horizontal="center" vertical="center" wrapText="1"/>
    </xf>
    <xf numFmtId="3" fontId="58" fillId="16" borderId="76" xfId="0" applyNumberFormat="1" applyFont="1" applyFill="1" applyBorder="1" applyAlignment="1">
      <alignment horizontal="center" vertical="center" wrapText="1"/>
    </xf>
    <xf numFmtId="3" fontId="58" fillId="16" borderId="94" xfId="0" applyNumberFormat="1" applyFont="1" applyFill="1" applyBorder="1" applyAlignment="1">
      <alignment horizontal="center" vertical="center" wrapText="1"/>
    </xf>
    <xf numFmtId="3" fontId="58" fillId="15" borderId="128" xfId="0" applyNumberFormat="1" applyFont="1" applyFill="1" applyBorder="1" applyAlignment="1">
      <alignment horizontal="center" vertical="center" wrapText="1"/>
    </xf>
    <xf numFmtId="3" fontId="58" fillId="17" borderId="166" xfId="0" applyNumberFormat="1" applyFont="1" applyFill="1" applyBorder="1" applyAlignment="1">
      <alignment horizontal="center" vertical="center" wrapText="1"/>
    </xf>
    <xf numFmtId="3" fontId="58" fillId="16" borderId="114" xfId="0" applyNumberFormat="1" applyFont="1" applyFill="1" applyBorder="1" applyAlignment="1">
      <alignment horizontal="right" vertical="center" wrapText="1"/>
    </xf>
    <xf numFmtId="3" fontId="58" fillId="17" borderId="94" xfId="0" applyNumberFormat="1" applyFont="1" applyFill="1" applyBorder="1" applyAlignment="1">
      <alignment horizontal="right" vertical="center" wrapText="1"/>
    </xf>
    <xf numFmtId="3" fontId="58" fillId="16" borderId="147" xfId="0" applyNumberFormat="1" applyFont="1" applyFill="1" applyBorder="1" applyAlignment="1">
      <alignment horizontal="right" vertical="center" wrapText="1"/>
    </xf>
    <xf numFmtId="3" fontId="58" fillId="17" borderId="147" xfId="0" applyNumberFormat="1" applyFont="1" applyFill="1" applyBorder="1" applyAlignment="1">
      <alignment horizontal="right" vertical="center" wrapText="1"/>
    </xf>
    <xf numFmtId="3" fontId="58" fillId="16" borderId="94" xfId="0" applyNumberFormat="1" applyFont="1" applyFill="1" applyBorder="1" applyAlignment="1">
      <alignment horizontal="right" vertical="center" wrapText="1"/>
    </xf>
    <xf numFmtId="3" fontId="58" fillId="15" borderId="128" xfId="0" applyNumberFormat="1" applyFont="1" applyFill="1" applyBorder="1" applyAlignment="1">
      <alignment horizontal="right" vertical="center" wrapText="1"/>
    </xf>
    <xf numFmtId="3" fontId="58" fillId="17" borderId="87" xfId="0" applyNumberFormat="1" applyFont="1" applyFill="1" applyBorder="1" applyAlignment="1">
      <alignment vertical="center" wrapText="1"/>
    </xf>
    <xf numFmtId="3" fontId="58" fillId="15" borderId="114" xfId="0" applyNumberFormat="1" applyFont="1" applyFill="1" applyBorder="1" applyAlignment="1">
      <alignment vertical="center" wrapText="1"/>
    </xf>
    <xf numFmtId="3" fontId="14" fillId="17" borderId="94" xfId="0" applyNumberFormat="1" applyFont="1" applyFill="1" applyBorder="1" applyAlignment="1">
      <alignment vertical="center" wrapText="1"/>
    </xf>
    <xf numFmtId="3" fontId="14" fillId="15" borderId="128" xfId="0" applyNumberFormat="1" applyFont="1" applyFill="1" applyBorder="1" applyAlignment="1">
      <alignment vertical="center" wrapText="1"/>
    </xf>
    <xf numFmtId="3" fontId="58" fillId="16" borderId="128" xfId="0" applyNumberFormat="1" applyFont="1" applyFill="1" applyBorder="1" applyAlignment="1">
      <alignment vertical="center" wrapText="1"/>
    </xf>
    <xf numFmtId="3" fontId="58" fillId="17" borderId="147" xfId="0" applyNumberFormat="1" applyFont="1" applyFill="1" applyBorder="1" applyAlignment="1">
      <alignment vertical="center" wrapText="1"/>
    </xf>
    <xf numFmtId="3" fontId="58" fillId="16" borderId="94" xfId="0" applyNumberFormat="1" applyFont="1" applyFill="1" applyBorder="1" applyAlignment="1">
      <alignment vertical="center" wrapText="1"/>
    </xf>
    <xf numFmtId="3" fontId="58" fillId="15" borderId="147" xfId="0" applyNumberFormat="1" applyFont="1" applyFill="1" applyBorder="1" applyAlignment="1">
      <alignment vertical="center" wrapText="1"/>
    </xf>
    <xf numFmtId="0" fontId="56" fillId="0" borderId="97" xfId="0" applyFont="1" applyBorder="1" applyAlignment="1">
      <alignment horizontal="center" vertical="center"/>
    </xf>
    <xf numFmtId="0" fontId="55" fillId="0" borderId="167" xfId="0" applyFont="1" applyBorder="1"/>
    <xf numFmtId="3" fontId="34" fillId="15" borderId="179" xfId="0" applyNumberFormat="1" applyFont="1" applyFill="1" applyBorder="1"/>
    <xf numFmtId="3" fontId="51" fillId="17" borderId="97" xfId="0" applyNumberFormat="1" applyFont="1" applyFill="1" applyBorder="1"/>
    <xf numFmtId="3" fontId="51" fillId="15" borderId="98" xfId="0" applyNumberFormat="1" applyFont="1" applyFill="1" applyBorder="1"/>
    <xf numFmtId="3" fontId="51" fillId="16" borderId="98" xfId="0" applyNumberFormat="1" applyFont="1" applyFill="1" applyBorder="1"/>
    <xf numFmtId="3" fontId="51" fillId="17" borderId="156" xfId="0" applyNumberFormat="1" applyFont="1" applyFill="1" applyBorder="1"/>
    <xf numFmtId="3" fontId="56" fillId="16" borderId="72" xfId="0" applyNumberFormat="1" applyFont="1" applyFill="1" applyBorder="1"/>
    <xf numFmtId="3" fontId="51" fillId="15" borderId="56" xfId="0" applyNumberFormat="1" applyFont="1" applyFill="1" applyBorder="1"/>
    <xf numFmtId="3" fontId="51" fillId="17" borderId="64" xfId="0" applyNumberFormat="1" applyFont="1" applyFill="1" applyBorder="1"/>
    <xf numFmtId="0" fontId="55" fillId="0" borderId="138" xfId="0" applyFont="1" applyBorder="1"/>
    <xf numFmtId="3" fontId="34" fillId="15" borderId="133" xfId="0" applyNumberFormat="1" applyFont="1" applyFill="1" applyBorder="1"/>
    <xf numFmtId="0" fontId="34" fillId="0" borderId="138" xfId="0" applyFont="1" applyBorder="1"/>
    <xf numFmtId="3" fontId="56" fillId="17" borderId="72" xfId="0" applyNumberFormat="1" applyFont="1" applyFill="1" applyBorder="1"/>
    <xf numFmtId="3" fontId="56" fillId="15" borderId="56" xfId="0" applyNumberFormat="1" applyFont="1" applyFill="1" applyBorder="1"/>
    <xf numFmtId="3" fontId="56" fillId="16" borderId="56" xfId="0" applyNumberFormat="1" applyFont="1" applyFill="1" applyBorder="1"/>
    <xf numFmtId="3" fontId="56" fillId="17" borderId="63" xfId="0" applyNumberFormat="1" applyFont="1" applyFill="1" applyBorder="1"/>
    <xf numFmtId="3" fontId="56" fillId="17" borderId="64" xfId="0" applyNumberFormat="1" applyFont="1" applyFill="1" applyBorder="1"/>
    <xf numFmtId="3" fontId="51" fillId="17" borderId="72" xfId="0" applyNumberFormat="1" applyFont="1" applyFill="1" applyBorder="1"/>
    <xf numFmtId="3" fontId="51" fillId="16" borderId="56" xfId="0" applyNumberFormat="1" applyFont="1" applyFill="1" applyBorder="1"/>
    <xf numFmtId="3" fontId="51" fillId="17" borderId="63" xfId="0" applyNumberFormat="1" applyFont="1" applyFill="1" applyBorder="1"/>
    <xf numFmtId="3" fontId="51" fillId="17" borderId="163" xfId="0" applyNumberFormat="1" applyFont="1" applyFill="1" applyBorder="1"/>
    <xf numFmtId="3" fontId="56" fillId="16" borderId="133" xfId="0" applyNumberFormat="1" applyFont="1" applyFill="1" applyBorder="1"/>
    <xf numFmtId="3" fontId="56" fillId="17" borderId="163" xfId="0" applyNumberFormat="1" applyFont="1" applyFill="1" applyBorder="1"/>
    <xf numFmtId="0" fontId="55" fillId="0" borderId="165" xfId="0" applyFont="1" applyBorder="1"/>
    <xf numFmtId="3" fontId="34" fillId="15" borderId="184" xfId="0" applyNumberFormat="1" applyFont="1" applyFill="1" applyBorder="1"/>
    <xf numFmtId="0" fontId="55" fillId="0" borderId="139" xfId="0" applyFont="1" applyBorder="1"/>
    <xf numFmtId="3" fontId="58" fillId="17" borderId="86" xfId="0" applyNumberFormat="1" applyFont="1" applyFill="1" applyBorder="1"/>
    <xf numFmtId="3" fontId="58" fillId="17" borderId="94" xfId="0" applyNumberFormat="1" applyFont="1" applyFill="1" applyBorder="1"/>
    <xf numFmtId="3" fontId="58" fillId="15" borderId="147" xfId="0" applyNumberFormat="1" applyFont="1" applyFill="1" applyBorder="1"/>
    <xf numFmtId="3" fontId="58" fillId="16" borderId="128" xfId="0" applyNumberFormat="1" applyFont="1" applyFill="1" applyBorder="1"/>
    <xf numFmtId="3" fontId="58" fillId="17" borderId="87" xfId="0" applyNumberFormat="1" applyFont="1" applyFill="1" applyBorder="1"/>
    <xf numFmtId="3" fontId="58" fillId="16" borderId="94" xfId="0" applyNumberFormat="1" applyFont="1" applyFill="1" applyBorder="1"/>
    <xf numFmtId="3" fontId="51" fillId="17" borderId="125" xfId="0" applyNumberFormat="1" applyFont="1" applyFill="1" applyBorder="1"/>
    <xf numFmtId="3" fontId="56" fillId="17" borderId="138" xfId="0" applyNumberFormat="1" applyFont="1" applyFill="1" applyBorder="1"/>
    <xf numFmtId="3" fontId="56" fillId="16" borderId="63" xfId="0" applyNumberFormat="1" applyFont="1" applyFill="1" applyBorder="1"/>
    <xf numFmtId="3" fontId="51" fillId="17" borderId="177" xfId="0" applyNumberFormat="1" applyFont="1" applyFill="1" applyBorder="1"/>
    <xf numFmtId="3" fontId="56" fillId="17" borderId="99" xfId="0" applyNumberFormat="1" applyFont="1" applyFill="1" applyBorder="1"/>
    <xf numFmtId="3" fontId="56" fillId="15" borderId="66" xfId="0" applyNumberFormat="1" applyFont="1" applyFill="1" applyBorder="1"/>
    <xf numFmtId="3" fontId="56" fillId="16" borderId="66" xfId="0" applyNumberFormat="1" applyFont="1" applyFill="1" applyBorder="1"/>
    <xf numFmtId="3" fontId="56" fillId="17" borderId="165" xfId="0" applyNumberFormat="1" applyFont="1" applyFill="1" applyBorder="1"/>
    <xf numFmtId="3" fontId="56" fillId="16" borderId="65" xfId="0" applyNumberFormat="1" applyFont="1" applyFill="1" applyBorder="1"/>
    <xf numFmtId="3" fontId="56" fillId="17" borderId="67" xfId="0" applyNumberFormat="1" applyFont="1" applyFill="1" applyBorder="1"/>
    <xf numFmtId="3" fontId="56" fillId="17" borderId="73" xfId="0" applyNumberFormat="1" applyFont="1" applyFill="1" applyBorder="1"/>
    <xf numFmtId="3" fontId="56" fillId="15" borderId="69" xfId="0" applyNumberFormat="1" applyFont="1" applyFill="1" applyBorder="1"/>
    <xf numFmtId="3" fontId="56" fillId="16" borderId="69" xfId="0" applyNumberFormat="1" applyFont="1" applyFill="1" applyBorder="1"/>
    <xf numFmtId="3" fontId="56" fillId="17" borderId="139" xfId="0" applyNumberFormat="1" applyFont="1" applyFill="1" applyBorder="1"/>
    <xf numFmtId="3" fontId="20" fillId="17" borderId="147" xfId="0" applyNumberFormat="1" applyFont="1" applyFill="1" applyBorder="1"/>
    <xf numFmtId="3" fontId="20" fillId="15" borderId="128" xfId="0" applyNumberFormat="1" applyFont="1" applyFill="1" applyBorder="1"/>
    <xf numFmtId="3" fontId="20" fillId="16" borderId="128" xfId="0" applyNumberFormat="1" applyFont="1" applyFill="1" applyBorder="1"/>
    <xf numFmtId="3" fontId="20" fillId="16" borderId="94" xfId="0" applyNumberFormat="1" applyFont="1" applyFill="1" applyBorder="1"/>
    <xf numFmtId="3" fontId="20" fillId="17" borderId="87" xfId="0" applyNumberFormat="1" applyFont="1" applyFill="1" applyBorder="1"/>
    <xf numFmtId="3" fontId="85" fillId="0" borderId="0" xfId="0" applyNumberFormat="1" applyFont="1"/>
    <xf numFmtId="3" fontId="2" fillId="0" borderId="94" xfId="1" applyNumberFormat="1" applyFont="1" applyBorder="1" applyAlignment="1">
      <alignment horizontal="right"/>
    </xf>
    <xf numFmtId="3" fontId="2" fillId="0" borderId="128" xfId="1" applyNumberFormat="1" applyFont="1" applyBorder="1" applyAlignment="1">
      <alignment horizontal="right"/>
    </xf>
    <xf numFmtId="4" fontId="21" fillId="0" borderId="185" xfId="1" applyNumberFormat="1" applyFont="1" applyBorder="1" applyAlignment="1">
      <alignment horizontal="center" vertical="center" wrapText="1"/>
    </xf>
    <xf numFmtId="4" fontId="21" fillId="0" borderId="140" xfId="1" applyNumberFormat="1" applyFont="1" applyBorder="1" applyAlignment="1">
      <alignment horizontal="center" vertical="center" wrapText="1"/>
    </xf>
    <xf numFmtId="4" fontId="21" fillId="0" borderId="136" xfId="1" applyNumberFormat="1" applyFont="1" applyBorder="1" applyAlignment="1">
      <alignment horizontal="center" vertical="center" wrapText="1"/>
    </xf>
    <xf numFmtId="3" fontId="2" fillId="0" borderId="87" xfId="1" applyNumberFormat="1" applyFont="1" applyBorder="1" applyAlignment="1">
      <alignment horizontal="right"/>
    </xf>
    <xf numFmtId="0" fontId="56" fillId="0" borderId="150" xfId="0" applyFont="1" applyBorder="1" applyAlignment="1">
      <alignment horizontal="center" vertical="center"/>
    </xf>
    <xf numFmtId="4" fontId="86" fillId="0" borderId="86" xfId="0" applyNumberFormat="1" applyFont="1" applyBorder="1" applyAlignment="1">
      <alignment horizontal="center" wrapText="1"/>
    </xf>
    <xf numFmtId="0" fontId="87" fillId="0" borderId="86" xfId="0" applyFont="1" applyBorder="1" applyAlignment="1">
      <alignment horizontal="center" vertical="center"/>
    </xf>
    <xf numFmtId="0" fontId="87" fillId="0" borderId="87" xfId="0" applyFont="1" applyBorder="1" applyAlignment="1">
      <alignment horizontal="center" vertical="center"/>
    </xf>
    <xf numFmtId="3" fontId="87" fillId="0" borderId="114" xfId="0" applyNumberFormat="1" applyFont="1" applyBorder="1" applyAlignment="1">
      <alignment horizontal="center" vertical="center"/>
    </xf>
    <xf numFmtId="0" fontId="87" fillId="0" borderId="0" xfId="0" applyFont="1" applyAlignment="1">
      <alignment horizontal="center"/>
    </xf>
    <xf numFmtId="3" fontId="86" fillId="0" borderId="86" xfId="0" applyNumberFormat="1" applyFont="1" applyBorder="1" applyAlignment="1">
      <alignment horizontal="center" wrapText="1"/>
    </xf>
    <xf numFmtId="3" fontId="81" fillId="0" borderId="133" xfId="0" applyNumberFormat="1" applyFont="1" applyBorder="1"/>
    <xf numFmtId="3" fontId="65" fillId="0" borderId="122" xfId="3" applyNumberFormat="1" applyFont="1" applyBorder="1"/>
    <xf numFmtId="3" fontId="0" fillId="16" borderId="0" xfId="0" applyNumberFormat="1" applyFill="1"/>
    <xf numFmtId="3" fontId="0" fillId="15" borderId="0" xfId="0" applyNumberFormat="1" applyFill="1"/>
    <xf numFmtId="3" fontId="0" fillId="17" borderId="0" xfId="0" applyNumberFormat="1" applyFill="1"/>
    <xf numFmtId="0" fontId="50" fillId="0" borderId="39" xfId="0" applyFont="1" applyBorder="1" applyAlignment="1">
      <alignment horizontal="center" wrapText="1"/>
    </xf>
    <xf numFmtId="4" fontId="46" fillId="0" borderId="100" xfId="1" applyNumberFormat="1" applyFont="1" applyBorder="1" applyAlignment="1">
      <alignment horizontal="center"/>
    </xf>
    <xf numFmtId="4" fontId="46" fillId="0" borderId="131" xfId="1" applyNumberFormat="1" applyFont="1" applyBorder="1" applyAlignment="1">
      <alignment horizontal="center"/>
    </xf>
    <xf numFmtId="4" fontId="46" fillId="0" borderId="92" xfId="1" applyNumberFormat="1" applyFont="1" applyBorder="1" applyAlignment="1">
      <alignment horizontal="center"/>
    </xf>
    <xf numFmtId="4" fontId="46" fillId="0" borderId="134" xfId="1" applyNumberFormat="1" applyFont="1" applyBorder="1" applyAlignment="1">
      <alignment horizontal="center"/>
    </xf>
    <xf numFmtId="4" fontId="46" fillId="0" borderId="46" xfId="1" applyNumberFormat="1" applyFont="1" applyBorder="1" applyAlignment="1">
      <alignment horizontal="center"/>
    </xf>
    <xf numFmtId="4" fontId="46" fillId="0" borderId="135" xfId="1" applyNumberFormat="1" applyFont="1" applyBorder="1" applyAlignment="1">
      <alignment horizontal="center"/>
    </xf>
    <xf numFmtId="3" fontId="46" fillId="0" borderId="100" xfId="1" applyNumberFormat="1" applyFont="1" applyBorder="1" applyAlignment="1">
      <alignment horizontal="center"/>
    </xf>
    <xf numFmtId="3" fontId="46" fillId="0" borderId="131" xfId="1" applyNumberFormat="1" applyFont="1" applyBorder="1" applyAlignment="1">
      <alignment horizontal="center"/>
    </xf>
    <xf numFmtId="3" fontId="46" fillId="0" borderId="134" xfId="1" applyNumberFormat="1" applyFont="1" applyBorder="1" applyAlignment="1">
      <alignment horizontal="center"/>
    </xf>
    <xf numFmtId="3" fontId="46" fillId="0" borderId="46" xfId="1" applyNumberFormat="1" applyFont="1" applyBorder="1" applyAlignment="1">
      <alignment horizontal="center"/>
    </xf>
    <xf numFmtId="4" fontId="20" fillId="0" borderId="131" xfId="1" applyNumberFormat="1" applyFont="1" applyBorder="1" applyAlignment="1">
      <alignment horizontal="center"/>
    </xf>
    <xf numFmtId="4" fontId="20" fillId="0" borderId="92" xfId="1" applyNumberFormat="1" applyFont="1" applyBorder="1" applyAlignment="1">
      <alignment horizontal="center"/>
    </xf>
    <xf numFmtId="4" fontId="20" fillId="0" borderId="46" xfId="1" applyNumberFormat="1" applyFont="1" applyBorder="1" applyAlignment="1">
      <alignment horizontal="center"/>
    </xf>
    <xf numFmtId="4" fontId="20" fillId="0" borderId="135" xfId="1" applyNumberFormat="1" applyFont="1" applyBorder="1" applyAlignment="1">
      <alignment horizontal="center"/>
    </xf>
    <xf numFmtId="3" fontId="20" fillId="0" borderId="71" xfId="0" applyNumberFormat="1" applyFont="1" applyBorder="1" applyAlignment="1">
      <alignment horizontal="center" wrapText="1"/>
    </xf>
    <xf numFmtId="3" fontId="20" fillId="0" borderId="61" xfId="0" applyNumberFormat="1" applyFont="1" applyBorder="1" applyAlignment="1">
      <alignment horizontal="center" wrapText="1"/>
    </xf>
    <xf numFmtId="3" fontId="20" fillId="0" borderId="62" xfId="0" applyNumberFormat="1" applyFont="1" applyBorder="1" applyAlignment="1">
      <alignment horizontal="center" wrapText="1"/>
    </xf>
    <xf numFmtId="3" fontId="20" fillId="0" borderId="72" xfId="0" applyNumberFormat="1" applyFont="1" applyBorder="1" applyAlignment="1">
      <alignment horizontal="center" wrapText="1"/>
    </xf>
    <xf numFmtId="3" fontId="20" fillId="0" borderId="56" xfId="0" applyNumberFormat="1" applyFont="1" applyBorder="1" applyAlignment="1">
      <alignment horizontal="center" wrapText="1"/>
    </xf>
    <xf numFmtId="3" fontId="20" fillId="0" borderId="64" xfId="0" applyNumberFormat="1" applyFont="1" applyBorder="1" applyAlignment="1">
      <alignment horizontal="center" wrapText="1"/>
    </xf>
    <xf numFmtId="4" fontId="20" fillId="0" borderId="100" xfId="1" applyNumberFormat="1" applyFont="1" applyBorder="1" applyAlignment="1">
      <alignment horizontal="center"/>
    </xf>
    <xf numFmtId="4" fontId="20" fillId="0" borderId="134" xfId="1" applyNumberFormat="1" applyFont="1" applyBorder="1" applyAlignment="1">
      <alignment horizontal="center"/>
    </xf>
    <xf numFmtId="0" fontId="50" fillId="0" borderId="0" xfId="1" applyFont="1" applyAlignment="1">
      <alignment horizontal="center"/>
    </xf>
    <xf numFmtId="0" fontId="14" fillId="0" borderId="100" xfId="1" applyFont="1" applyBorder="1" applyAlignment="1">
      <alignment horizontal="left" vertical="center"/>
    </xf>
    <xf numFmtId="0" fontId="14" fillId="0" borderId="92" xfId="1" applyFont="1" applyBorder="1" applyAlignment="1">
      <alignment horizontal="left" vertical="center"/>
    </xf>
    <xf numFmtId="0" fontId="14" fillId="0" borderId="101" xfId="1" applyFont="1" applyBorder="1" applyAlignment="1">
      <alignment horizontal="left" vertical="center"/>
    </xf>
    <xf numFmtId="0" fontId="14" fillId="0" borderId="88" xfId="1" applyFont="1" applyBorder="1" applyAlignment="1">
      <alignment horizontal="left" vertical="center"/>
    </xf>
    <xf numFmtId="0" fontId="2" fillId="0" borderId="39" xfId="0" applyFont="1" applyBorder="1" applyAlignment="1">
      <alignment horizontal="center" wrapText="1"/>
    </xf>
    <xf numFmtId="3" fontId="16" fillId="6" borderId="48" xfId="1" applyNumberFormat="1" applyFont="1" applyFill="1" applyBorder="1" applyAlignment="1">
      <alignment horizontal="center"/>
    </xf>
    <xf numFmtId="3" fontId="21" fillId="7" borderId="51" xfId="1" applyNumberFormat="1" applyFont="1" applyFill="1" applyBorder="1" applyAlignment="1">
      <alignment horizontal="center" vertical="center" wrapText="1"/>
    </xf>
    <xf numFmtId="0" fontId="7" fillId="14" borderId="1" xfId="1" applyFont="1" applyFill="1" applyBorder="1" applyAlignment="1">
      <alignment horizontal="left" vertical="center"/>
    </xf>
    <xf numFmtId="49" fontId="21" fillId="7" borderId="35" xfId="1" applyNumberFormat="1" applyFont="1" applyFill="1" applyBorder="1" applyAlignment="1">
      <alignment horizontal="center" vertical="center" wrapText="1"/>
    </xf>
    <xf numFmtId="49" fontId="21" fillId="7" borderId="51" xfId="1" applyNumberFormat="1" applyFont="1" applyFill="1" applyBorder="1" applyAlignment="1">
      <alignment horizontal="center" vertical="center" wrapText="1"/>
    </xf>
    <xf numFmtId="0" fontId="16" fillId="6" borderId="34" xfId="1" applyFont="1" applyFill="1" applyBorder="1" applyAlignment="1">
      <alignment horizontal="center"/>
    </xf>
    <xf numFmtId="0" fontId="16" fillId="6" borderId="59" xfId="1" applyFont="1" applyFill="1" applyBorder="1" applyAlignment="1">
      <alignment horizontal="center"/>
    </xf>
    <xf numFmtId="4" fontId="2" fillId="0" borderId="0" xfId="1" applyNumberFormat="1" applyFont="1" applyAlignment="1">
      <alignment horizontal="center"/>
    </xf>
    <xf numFmtId="3" fontId="14" fillId="0" borderId="131" xfId="1" applyNumberFormat="1" applyFont="1" applyBorder="1" applyAlignment="1">
      <alignment horizontal="center"/>
    </xf>
    <xf numFmtId="3" fontId="14" fillId="0" borderId="129" xfId="1" applyNumberFormat="1" applyFont="1" applyBorder="1" applyAlignment="1">
      <alignment horizontal="center"/>
    </xf>
    <xf numFmtId="4" fontId="45" fillId="0" borderId="0" xfId="1" applyNumberFormat="1" applyFont="1" applyAlignment="1">
      <alignment horizontal="center"/>
    </xf>
    <xf numFmtId="3" fontId="58" fillId="0" borderId="129" xfId="0" applyNumberFormat="1" applyFont="1" applyBorder="1" applyAlignment="1">
      <alignment horizontal="center"/>
    </xf>
    <xf numFmtId="0" fontId="55" fillId="0" borderId="177" xfId="0" applyFont="1" applyBorder="1" applyAlignment="1">
      <alignment horizontal="center" vertical="center"/>
    </xf>
    <xf numFmtId="0" fontId="55" fillId="0" borderId="85" xfId="0" applyFont="1" applyBorder="1" applyAlignment="1">
      <alignment horizontal="center" vertical="center"/>
    </xf>
    <xf numFmtId="0" fontId="55" fillId="0" borderId="84" xfId="0" applyFont="1" applyBorder="1" applyAlignment="1">
      <alignment horizontal="center" vertical="center"/>
    </xf>
    <xf numFmtId="0" fontId="55" fillId="0" borderId="115" xfId="0" applyFont="1" applyBorder="1" applyAlignment="1">
      <alignment horizontal="center" vertical="center"/>
    </xf>
    <xf numFmtId="0" fontId="69" fillId="0" borderId="149" xfId="5" applyFont="1" applyBorder="1" applyAlignment="1">
      <alignment horizontal="left" vertical="center" wrapText="1"/>
    </xf>
    <xf numFmtId="0" fontId="69" fillId="0" borderId="176" xfId="5" applyFont="1" applyBorder="1" applyAlignment="1">
      <alignment horizontal="left" vertical="center" wrapText="1"/>
    </xf>
    <xf numFmtId="0" fontId="76" fillId="0" borderId="94" xfId="0" applyFont="1" applyBorder="1" applyAlignment="1">
      <alignment horizontal="center" wrapText="1"/>
    </xf>
    <xf numFmtId="0" fontId="76" fillId="0" borderId="95" xfId="0" applyFont="1" applyBorder="1" applyAlignment="1">
      <alignment horizontal="center" wrapText="1"/>
    </xf>
    <xf numFmtId="0" fontId="31" fillId="0" borderId="171" xfId="3" applyFont="1" applyBorder="1" applyAlignment="1">
      <alignment horizontal="center" vertical="center" wrapText="1"/>
    </xf>
    <xf numFmtId="0" fontId="31" fillId="0" borderId="157" xfId="3" applyFont="1" applyBorder="1" applyAlignment="1">
      <alignment horizontal="center" vertical="center" wrapText="1"/>
    </xf>
    <xf numFmtId="0" fontId="31" fillId="0" borderId="162" xfId="3" applyFont="1" applyBorder="1" applyAlignment="1">
      <alignment horizontal="center" vertical="center" wrapText="1"/>
    </xf>
    <xf numFmtId="0" fontId="69" fillId="0" borderId="100" xfId="5" applyFont="1" applyBorder="1" applyAlignment="1">
      <alignment horizontal="left" vertical="center" wrapText="1"/>
    </xf>
    <xf numFmtId="0" fontId="69" fillId="0" borderId="131" xfId="5" applyFont="1" applyBorder="1" applyAlignment="1">
      <alignment horizontal="left" vertical="center" wrapText="1"/>
    </xf>
    <xf numFmtId="0" fontId="7" fillId="0" borderId="66" xfId="5" applyFont="1" applyBorder="1" applyAlignment="1">
      <alignment horizontal="center" vertical="center" wrapText="1"/>
    </xf>
    <xf numFmtId="0" fontId="7" fillId="0" borderId="77" xfId="5" applyFont="1" applyBorder="1" applyAlignment="1">
      <alignment horizontal="center" vertical="center" wrapText="1"/>
    </xf>
    <xf numFmtId="0" fontId="7" fillId="0" borderId="75" xfId="5" applyFont="1" applyBorder="1" applyAlignment="1">
      <alignment horizontal="center" vertical="center" wrapText="1"/>
    </xf>
    <xf numFmtId="0" fontId="31" fillId="0" borderId="171" xfId="5" applyFont="1" applyBorder="1" applyAlignment="1">
      <alignment horizontal="center" vertical="center" wrapText="1"/>
    </xf>
    <xf numFmtId="0" fontId="31" fillId="0" borderId="157" xfId="5" applyFont="1" applyBorder="1" applyAlignment="1">
      <alignment horizontal="center" vertical="center" wrapText="1"/>
    </xf>
    <xf numFmtId="0" fontId="31" fillId="0" borderId="162" xfId="5" applyFont="1" applyBorder="1" applyAlignment="1">
      <alignment horizontal="center" vertical="center" wrapText="1"/>
    </xf>
    <xf numFmtId="0" fontId="31" fillId="0" borderId="169" xfId="3" applyFont="1" applyBorder="1" applyAlignment="1">
      <alignment horizontal="center" vertical="center"/>
    </xf>
    <xf numFmtId="0" fontId="31" fillId="0" borderId="170" xfId="3" applyFont="1" applyBorder="1" applyAlignment="1">
      <alignment horizontal="center" vertical="center"/>
    </xf>
    <xf numFmtId="0" fontId="31" fillId="0" borderId="137" xfId="3" applyFont="1" applyBorder="1" applyAlignment="1">
      <alignment horizontal="center" vertical="center"/>
    </xf>
    <xf numFmtId="0" fontId="31" fillId="0" borderId="169" xfId="5" applyFont="1" applyBorder="1" applyAlignment="1">
      <alignment horizontal="center"/>
    </xf>
    <xf numFmtId="0" fontId="31" fillId="0" borderId="170" xfId="5" applyFont="1" applyBorder="1" applyAlignment="1">
      <alignment horizontal="center"/>
    </xf>
    <xf numFmtId="0" fontId="31" fillId="0" borderId="60" xfId="5" applyFont="1" applyBorder="1" applyAlignment="1">
      <alignment horizontal="center"/>
    </xf>
    <xf numFmtId="0" fontId="31" fillId="0" borderId="132" xfId="3" applyFont="1" applyBorder="1" applyAlignment="1">
      <alignment horizontal="center" vertical="center"/>
    </xf>
    <xf numFmtId="0" fontId="31" fillId="0" borderId="84" xfId="3" applyFont="1" applyBorder="1" applyAlignment="1">
      <alignment horizontal="center" vertical="center"/>
    </xf>
    <xf numFmtId="0" fontId="31" fillId="0" borderId="85" xfId="3" applyFont="1" applyBorder="1" applyAlignment="1">
      <alignment horizontal="center" vertical="center"/>
    </xf>
    <xf numFmtId="0" fontId="59" fillId="0" borderId="99" xfId="3" applyFont="1" applyBorder="1" applyAlignment="1">
      <alignment horizontal="center" vertical="center"/>
    </xf>
    <xf numFmtId="0" fontId="31" fillId="0" borderId="150" xfId="3" applyFont="1" applyBorder="1" applyAlignment="1">
      <alignment horizontal="center" vertical="center"/>
    </xf>
    <xf numFmtId="0" fontId="31" fillId="0" borderId="161" xfId="3" applyFont="1" applyBorder="1" applyAlignment="1">
      <alignment horizontal="center" vertical="center"/>
    </xf>
    <xf numFmtId="0" fontId="63" fillId="0" borderId="101" xfId="3" applyFont="1" applyBorder="1" applyAlignment="1">
      <alignment horizontal="center" vertical="center" wrapText="1"/>
    </xf>
    <xf numFmtId="0" fontId="63" fillId="0" borderId="129" xfId="3" applyFont="1" applyBorder="1" applyAlignment="1">
      <alignment horizontal="center" vertical="center" wrapText="1"/>
    </xf>
    <xf numFmtId="0" fontId="73" fillId="0" borderId="101" xfId="0" applyFont="1" applyBorder="1" applyAlignment="1">
      <alignment horizontal="center" vertical="center" wrapText="1"/>
    </xf>
    <xf numFmtId="0" fontId="73" fillId="0" borderId="129" xfId="0" applyFont="1" applyBorder="1" applyAlignment="1">
      <alignment horizontal="center" vertical="center" wrapText="1"/>
    </xf>
    <xf numFmtId="0" fontId="73" fillId="0" borderId="88" xfId="0" applyFont="1" applyBorder="1" applyAlignment="1">
      <alignment horizontal="center" vertical="center" wrapText="1"/>
    </xf>
    <xf numFmtId="0" fontId="73" fillId="0" borderId="100" xfId="0" applyFont="1" applyBorder="1" applyAlignment="1">
      <alignment horizontal="center" vertical="center" wrapText="1"/>
    </xf>
    <xf numFmtId="0" fontId="73" fillId="0" borderId="131" xfId="0" applyFont="1" applyBorder="1" applyAlignment="1">
      <alignment horizontal="center" vertical="center" wrapText="1"/>
    </xf>
    <xf numFmtId="0" fontId="73" fillId="0" borderId="92" xfId="0" applyFont="1" applyBorder="1" applyAlignment="1">
      <alignment horizontal="center" vertical="center" wrapText="1"/>
    </xf>
    <xf numFmtId="0" fontId="73" fillId="0" borderId="172" xfId="0" applyFont="1" applyBorder="1" applyAlignment="1">
      <alignment horizontal="center" vertical="center" wrapText="1"/>
    </xf>
    <xf numFmtId="0" fontId="73" fillId="0" borderId="0" xfId="0" applyFont="1" applyAlignment="1">
      <alignment horizontal="center" vertical="center" wrapText="1"/>
    </xf>
    <xf numFmtId="0" fontId="73" fillId="0" borderId="91" xfId="0" applyFont="1" applyBorder="1" applyAlignment="1">
      <alignment horizontal="center" vertical="center" wrapText="1"/>
    </xf>
    <xf numFmtId="0" fontId="31" fillId="0" borderId="92" xfId="3" applyFont="1" applyBorder="1" applyAlignment="1">
      <alignment horizontal="center" vertical="center" wrapText="1"/>
    </xf>
    <xf numFmtId="0" fontId="31" fillId="0" borderId="91" xfId="3" applyFont="1" applyBorder="1" applyAlignment="1">
      <alignment horizontal="center" vertical="center" wrapText="1"/>
    </xf>
    <xf numFmtId="0" fontId="31" fillId="0" borderId="88" xfId="3" applyFont="1" applyBorder="1" applyAlignment="1">
      <alignment horizontal="center" vertical="center" wrapText="1"/>
    </xf>
    <xf numFmtId="0" fontId="31" fillId="0" borderId="78" xfId="5" applyFont="1" applyBorder="1" applyAlignment="1">
      <alignment horizontal="center"/>
    </xf>
    <xf numFmtId="0" fontId="31" fillId="0" borderId="138" xfId="5" applyFont="1" applyBorder="1" applyAlignment="1">
      <alignment horizontal="center"/>
    </xf>
    <xf numFmtId="2" fontId="31" fillId="0" borderId="150" xfId="5" applyNumberFormat="1" applyFont="1" applyBorder="1" applyAlignment="1">
      <alignment horizontal="center" vertical="center" wrapText="1"/>
    </xf>
    <xf numFmtId="2" fontId="31" fillId="0" borderId="161" xfId="5" applyNumberFormat="1" applyFont="1" applyBorder="1" applyAlignment="1">
      <alignment horizontal="center" vertical="center" wrapText="1"/>
    </xf>
    <xf numFmtId="49" fontId="64" fillId="0" borderId="100" xfId="5" applyNumberFormat="1" applyFont="1" applyBorder="1" applyAlignment="1">
      <alignment horizontal="center" vertical="center" wrapText="1"/>
    </xf>
    <xf numFmtId="49" fontId="64" fillId="0" borderId="131" xfId="5" applyNumberFormat="1" applyFont="1" applyBorder="1" applyAlignment="1">
      <alignment horizontal="center" vertical="center" wrapText="1"/>
    </xf>
    <xf numFmtId="49" fontId="64" fillId="0" borderId="92" xfId="5" applyNumberFormat="1" applyFont="1" applyBorder="1" applyAlignment="1">
      <alignment horizontal="center" vertical="center" wrapText="1"/>
    </xf>
    <xf numFmtId="49" fontId="64" fillId="0" borderId="172" xfId="5" applyNumberFormat="1" applyFont="1" applyBorder="1" applyAlignment="1">
      <alignment horizontal="center" vertical="center" wrapText="1"/>
    </xf>
    <xf numFmtId="49" fontId="64" fillId="0" borderId="0" xfId="5" applyNumberFormat="1" applyFont="1" applyAlignment="1">
      <alignment horizontal="center" vertical="center" wrapText="1"/>
    </xf>
    <xf numFmtId="49" fontId="64" fillId="0" borderId="91" xfId="5" applyNumberFormat="1" applyFont="1" applyBorder="1" applyAlignment="1">
      <alignment horizontal="center" vertical="center" wrapText="1"/>
    </xf>
    <xf numFmtId="49" fontId="21" fillId="0" borderId="169" xfId="5" applyNumberFormat="1" applyFont="1" applyBorder="1" applyAlignment="1">
      <alignment horizontal="center" vertical="center" wrapText="1"/>
    </xf>
    <xf numFmtId="49" fontId="21" fillId="0" borderId="170" xfId="5" applyNumberFormat="1" applyFont="1" applyBorder="1" applyAlignment="1">
      <alignment horizontal="center" vertical="center" wrapText="1"/>
    </xf>
    <xf numFmtId="49" fontId="21" fillId="0" borderId="137" xfId="5" applyNumberFormat="1" applyFont="1" applyBorder="1" applyAlignment="1">
      <alignment horizontal="center" vertical="center" wrapText="1"/>
    </xf>
    <xf numFmtId="0" fontId="31" fillId="0" borderId="100" xfId="3" applyFont="1" applyBorder="1" applyAlignment="1">
      <alignment horizontal="center" vertical="center"/>
    </xf>
    <xf numFmtId="0" fontId="31" fillId="0" borderId="131" xfId="3" applyFont="1" applyBorder="1" applyAlignment="1">
      <alignment horizontal="center" vertical="center"/>
    </xf>
    <xf numFmtId="0" fontId="31" fillId="0" borderId="92" xfId="3" applyFont="1" applyBorder="1" applyAlignment="1">
      <alignment horizontal="center" vertical="center"/>
    </xf>
    <xf numFmtId="0" fontId="31" fillId="0" borderId="132" xfId="3" applyFont="1" applyBorder="1" applyAlignment="1">
      <alignment horizontal="center" vertical="center" wrapText="1"/>
    </xf>
    <xf numFmtId="0" fontId="31" fillId="0" borderId="84" xfId="3" applyFont="1" applyBorder="1" applyAlignment="1">
      <alignment horizontal="center" vertical="center" wrapText="1"/>
    </xf>
    <xf numFmtId="0" fontId="31" fillId="0" borderId="85" xfId="3" applyFont="1" applyBorder="1" applyAlignment="1">
      <alignment horizontal="center" vertical="center" wrapText="1"/>
    </xf>
    <xf numFmtId="49" fontId="31" fillId="0" borderId="149" xfId="3" applyNumberFormat="1" applyFont="1" applyBorder="1" applyAlignment="1">
      <alignment horizontal="center" textRotation="90" wrapText="1"/>
    </xf>
    <xf numFmtId="49" fontId="31" fillId="0" borderId="150" xfId="3" applyNumberFormat="1" applyFont="1" applyBorder="1" applyAlignment="1">
      <alignment horizontal="center" textRotation="90" wrapText="1"/>
    </xf>
    <xf numFmtId="49" fontId="31" fillId="0" borderId="161" xfId="3" applyNumberFormat="1" applyFont="1" applyBorder="1" applyAlignment="1">
      <alignment horizontal="center" textRotation="90" wrapText="1"/>
    </xf>
    <xf numFmtId="0" fontId="31" fillId="0" borderId="176" xfId="3" applyFont="1" applyBorder="1" applyAlignment="1">
      <alignment horizontal="center" vertical="center" wrapText="1"/>
    </xf>
    <xf numFmtId="0" fontId="31" fillId="0" borderId="158" xfId="3" applyFont="1" applyBorder="1" applyAlignment="1">
      <alignment horizontal="center" vertical="center" wrapText="1"/>
    </xf>
    <xf numFmtId="0" fontId="31" fillId="0" borderId="178" xfId="3" applyFont="1" applyBorder="1" applyAlignment="1">
      <alignment horizontal="center" vertical="center" wrapText="1"/>
    </xf>
    <xf numFmtId="0" fontId="31" fillId="0" borderId="177" xfId="5" applyFont="1" applyBorder="1" applyAlignment="1">
      <alignment horizontal="center" vertical="center" wrapText="1"/>
    </xf>
    <xf numFmtId="0" fontId="31" fillId="0" borderId="84" xfId="5" applyFont="1" applyBorder="1" applyAlignment="1">
      <alignment horizontal="center" vertical="center" wrapText="1"/>
    </xf>
    <xf numFmtId="0" fontId="31" fillId="0" borderId="85" xfId="5" applyFont="1" applyBorder="1" applyAlignment="1">
      <alignment horizontal="center" vertical="center" wrapText="1"/>
    </xf>
    <xf numFmtId="0" fontId="65" fillId="0" borderId="66" xfId="5" applyFont="1" applyBorder="1" applyAlignment="1">
      <alignment horizontal="center" vertical="center"/>
    </xf>
    <xf numFmtId="0" fontId="65" fillId="0" borderId="75" xfId="5" applyFont="1" applyBorder="1" applyAlignment="1">
      <alignment horizontal="center" vertical="center"/>
    </xf>
    <xf numFmtId="0" fontId="65" fillId="0" borderId="67" xfId="5" applyFont="1" applyBorder="1" applyAlignment="1">
      <alignment horizontal="center" vertical="center" wrapText="1"/>
    </xf>
    <xf numFmtId="0" fontId="65" fillId="0" borderId="162" xfId="5" applyFont="1" applyBorder="1" applyAlignment="1">
      <alignment horizontal="center" vertical="center" wrapText="1"/>
    </xf>
    <xf numFmtId="3" fontId="13" fillId="16" borderId="131" xfId="0" applyNumberFormat="1" applyFont="1" applyFill="1" applyBorder="1" applyAlignment="1">
      <alignment horizontal="center"/>
    </xf>
    <xf numFmtId="3" fontId="77" fillId="0" borderId="114" xfId="0" applyNumberFormat="1" applyFont="1" applyBorder="1" applyAlignment="1">
      <alignment horizontal="center"/>
    </xf>
    <xf numFmtId="3" fontId="77" fillId="0" borderId="130" xfId="0" applyNumberFormat="1" applyFont="1" applyBorder="1" applyAlignment="1">
      <alignment horizontal="center"/>
    </xf>
    <xf numFmtId="3" fontId="77" fillId="0" borderId="87" xfId="0" applyNumberFormat="1" applyFont="1" applyBorder="1" applyAlignment="1">
      <alignment horizontal="center"/>
    </xf>
    <xf numFmtId="0" fontId="77" fillId="0" borderId="100" xfId="0" applyFont="1" applyBorder="1" applyAlignment="1">
      <alignment horizontal="center" wrapText="1"/>
    </xf>
    <xf numFmtId="0" fontId="77" fillId="0" borderId="131" xfId="0" applyFont="1" applyBorder="1" applyAlignment="1">
      <alignment horizontal="center" wrapText="1"/>
    </xf>
    <xf numFmtId="0" fontId="77" fillId="0" borderId="92" xfId="0" applyFont="1" applyBorder="1" applyAlignment="1">
      <alignment horizontal="center" wrapText="1"/>
    </xf>
    <xf numFmtId="0" fontId="77" fillId="0" borderId="101" xfId="0" applyFont="1" applyBorder="1" applyAlignment="1">
      <alignment horizontal="center" wrapText="1"/>
    </xf>
    <xf numFmtId="0" fontId="77" fillId="0" borderId="129" xfId="0" applyFont="1" applyBorder="1" applyAlignment="1">
      <alignment horizontal="center" wrapText="1"/>
    </xf>
    <xf numFmtId="0" fontId="77" fillId="0" borderId="88" xfId="0" applyFont="1" applyBorder="1" applyAlignment="1">
      <alignment horizontal="center" wrapText="1"/>
    </xf>
    <xf numFmtId="3" fontId="76" fillId="16" borderId="94" xfId="0" applyNumberFormat="1" applyFont="1" applyFill="1" applyBorder="1" applyAlignment="1">
      <alignment horizontal="center"/>
    </xf>
    <xf numFmtId="3" fontId="76" fillId="16" borderId="130" xfId="0" applyNumberFormat="1" applyFont="1" applyFill="1" applyBorder="1" applyAlignment="1">
      <alignment horizontal="center"/>
    </xf>
    <xf numFmtId="3" fontId="76" fillId="16" borderId="166" xfId="0" applyNumberFormat="1" applyFont="1" applyFill="1" applyBorder="1" applyAlignment="1">
      <alignment horizontal="center"/>
    </xf>
    <xf numFmtId="3" fontId="77" fillId="16" borderId="94" xfId="0" applyNumberFormat="1" applyFont="1" applyFill="1" applyBorder="1" applyAlignment="1">
      <alignment horizontal="center"/>
    </xf>
    <xf numFmtId="3" fontId="77" fillId="16" borderId="130" xfId="0" applyNumberFormat="1" applyFont="1" applyFill="1" applyBorder="1" applyAlignment="1">
      <alignment horizontal="center"/>
    </xf>
    <xf numFmtId="0" fontId="77" fillId="16" borderId="166" xfId="0" applyFont="1" applyFill="1" applyBorder="1" applyAlignment="1">
      <alignment horizontal="center"/>
    </xf>
    <xf numFmtId="0" fontId="76" fillId="0" borderId="94" xfId="0" applyFont="1" applyBorder="1" applyAlignment="1">
      <alignment horizontal="center"/>
    </xf>
    <xf numFmtId="0" fontId="76" fillId="0" borderId="95" xfId="0" applyFont="1" applyBorder="1" applyAlignment="1">
      <alignment horizontal="center"/>
    </xf>
    <xf numFmtId="3" fontId="73" fillId="0" borderId="114" xfId="0" applyNumberFormat="1" applyFont="1" applyBorder="1" applyAlignment="1">
      <alignment horizontal="center"/>
    </xf>
    <xf numFmtId="3" fontId="73" fillId="0" borderId="130" xfId="0" applyNumberFormat="1" applyFont="1" applyBorder="1" applyAlignment="1">
      <alignment horizontal="center"/>
    </xf>
    <xf numFmtId="3" fontId="73" fillId="0" borderId="87" xfId="0" applyNumberFormat="1" applyFont="1" applyBorder="1" applyAlignment="1">
      <alignment horizontal="center"/>
    </xf>
    <xf numFmtId="0" fontId="77" fillId="0" borderId="130" xfId="0" applyFont="1" applyBorder="1" applyAlignment="1">
      <alignment horizontal="center"/>
    </xf>
    <xf numFmtId="0" fontId="77" fillId="0" borderId="87" xfId="0" applyFont="1" applyBorder="1" applyAlignment="1">
      <alignment horizontal="center"/>
    </xf>
    <xf numFmtId="0" fontId="56" fillId="0" borderId="99" xfId="0" applyFont="1" applyBorder="1" applyAlignment="1">
      <alignment horizontal="center" vertical="center"/>
    </xf>
    <xf numFmtId="0" fontId="56" fillId="0" borderId="150" xfId="0" applyFont="1" applyBorder="1" applyAlignment="1">
      <alignment horizontal="center" vertical="center"/>
    </xf>
    <xf numFmtId="0" fontId="56" fillId="0" borderId="97" xfId="0" applyFont="1" applyBorder="1" applyAlignment="1">
      <alignment horizontal="center" vertical="center"/>
    </xf>
    <xf numFmtId="0" fontId="0" fillId="16" borderId="0" xfId="0" applyFill="1" applyAlignment="1">
      <alignment horizontal="center"/>
    </xf>
    <xf numFmtId="0" fontId="0" fillId="15" borderId="0" xfId="0" applyFill="1" applyAlignment="1">
      <alignment horizontal="center"/>
    </xf>
    <xf numFmtId="0" fontId="0" fillId="17" borderId="0" xfId="0" applyFill="1" applyAlignment="1">
      <alignment horizontal="center"/>
    </xf>
    <xf numFmtId="0" fontId="56" fillId="0" borderId="133" xfId="0" applyFont="1" applyBorder="1" applyAlignment="1">
      <alignment horizontal="left" vertical="center"/>
    </xf>
    <xf numFmtId="0" fontId="56" fillId="0" borderId="138" xfId="0" applyFont="1" applyBorder="1" applyAlignment="1">
      <alignment horizontal="left" vertical="center"/>
    </xf>
    <xf numFmtId="0" fontId="84" fillId="0" borderId="100" xfId="0" applyFont="1" applyBorder="1" applyAlignment="1">
      <alignment horizontal="center" vertical="center"/>
    </xf>
    <xf numFmtId="0" fontId="84" fillId="0" borderId="92" xfId="0" applyFont="1" applyBorder="1" applyAlignment="1">
      <alignment horizontal="center" vertical="center"/>
    </xf>
    <xf numFmtId="0" fontId="84" fillId="0" borderId="101" xfId="0" applyFont="1" applyBorder="1" applyAlignment="1">
      <alignment horizontal="center" vertical="center"/>
    </xf>
    <xf numFmtId="0" fontId="84" fillId="0" borderId="88" xfId="0" applyFont="1" applyBorder="1" applyAlignment="1">
      <alignment horizontal="center" vertical="center"/>
    </xf>
    <xf numFmtId="3" fontId="84" fillId="0" borderId="132" xfId="0" applyNumberFormat="1" applyFont="1" applyBorder="1" applyAlignment="1">
      <alignment horizontal="center"/>
    </xf>
    <xf numFmtId="3" fontId="84" fillId="0" borderId="85" xfId="0" applyNumberFormat="1" applyFont="1" applyBorder="1" applyAlignment="1">
      <alignment horizontal="center"/>
    </xf>
    <xf numFmtId="3" fontId="84" fillId="0" borderId="114" xfId="0" applyNumberFormat="1" applyFont="1" applyBorder="1" applyAlignment="1">
      <alignment horizontal="center"/>
    </xf>
    <xf numFmtId="3" fontId="84" fillId="0" borderId="130" xfId="0" applyNumberFormat="1" applyFont="1" applyBorder="1" applyAlignment="1">
      <alignment horizontal="center"/>
    </xf>
    <xf numFmtId="3" fontId="84" fillId="0" borderId="87" xfId="0" applyNumberFormat="1" applyFont="1" applyBorder="1" applyAlignment="1">
      <alignment horizontal="center"/>
    </xf>
    <xf numFmtId="3" fontId="13" fillId="0" borderId="131" xfId="0" applyNumberFormat="1" applyFont="1" applyBorder="1" applyAlignment="1">
      <alignment horizontal="center"/>
    </xf>
    <xf numFmtId="0" fontId="56" fillId="0" borderId="161" xfId="0" applyFont="1" applyBorder="1" applyAlignment="1">
      <alignment horizontal="center" vertical="center"/>
    </xf>
    <xf numFmtId="0" fontId="58" fillId="17" borderId="161" xfId="0" applyFont="1" applyFill="1" applyBorder="1" applyAlignment="1">
      <alignment horizontal="left"/>
    </xf>
    <xf numFmtId="0" fontId="58" fillId="17" borderId="178" xfId="0" applyFont="1" applyFill="1" applyBorder="1" applyAlignment="1">
      <alignment horizontal="left"/>
    </xf>
    <xf numFmtId="0" fontId="56" fillId="0" borderId="72" xfId="0" applyFont="1" applyBorder="1" applyAlignment="1">
      <alignment horizontal="left" vertical="center"/>
    </xf>
    <xf numFmtId="0" fontId="56" fillId="0" borderId="78" xfId="0" applyFont="1" applyBorder="1" applyAlignment="1">
      <alignment horizontal="left" vertical="center"/>
    </xf>
    <xf numFmtId="0" fontId="58" fillId="16" borderId="114" xfId="0" applyFont="1" applyFill="1" applyBorder="1" applyAlignment="1">
      <alignment horizontal="left"/>
    </xf>
    <xf numFmtId="0" fontId="58" fillId="16" borderId="87" xfId="0" applyFont="1" applyFill="1" applyBorder="1" applyAlignment="1">
      <alignment horizontal="left"/>
    </xf>
    <xf numFmtId="0" fontId="58" fillId="15" borderId="114" xfId="0" applyFont="1" applyFill="1" applyBorder="1" applyAlignment="1">
      <alignment horizontal="left"/>
    </xf>
    <xf numFmtId="0" fontId="58" fillId="15" borderId="87" xfId="0" applyFont="1" applyFill="1" applyBorder="1" applyAlignment="1">
      <alignment horizontal="left"/>
    </xf>
    <xf numFmtId="3" fontId="54" fillId="0" borderId="129" xfId="0" applyNumberFormat="1" applyFont="1" applyBorder="1" applyAlignment="1">
      <alignment horizontal="center"/>
    </xf>
    <xf numFmtId="0" fontId="58" fillId="0" borderId="100" xfId="0" applyFont="1" applyBorder="1" applyAlignment="1">
      <alignment horizontal="center" vertical="center"/>
    </xf>
    <xf numFmtId="0" fontId="58" fillId="0" borderId="131" xfId="0" applyFont="1" applyBorder="1" applyAlignment="1">
      <alignment horizontal="center" vertical="center"/>
    </xf>
    <xf numFmtId="0" fontId="58" fillId="0" borderId="172" xfId="0" applyFont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8" fillId="0" borderId="101" xfId="0" applyFont="1" applyBorder="1" applyAlignment="1">
      <alignment horizontal="center" vertical="center"/>
    </xf>
    <xf numFmtId="0" fontId="58" fillId="0" borderId="129" xfId="0" applyFont="1" applyBorder="1" applyAlignment="1">
      <alignment horizontal="center" vertical="center"/>
    </xf>
    <xf numFmtId="0" fontId="58" fillId="0" borderId="132" xfId="0" applyFont="1" applyBorder="1" applyAlignment="1">
      <alignment horizontal="center" vertical="center" wrapText="1"/>
    </xf>
    <xf numFmtId="0" fontId="58" fillId="0" borderId="84" xfId="0" applyFont="1" applyBorder="1" applyAlignment="1">
      <alignment horizontal="center" vertical="center" wrapText="1"/>
    </xf>
    <xf numFmtId="0" fontId="58" fillId="0" borderId="85" xfId="0" applyFont="1" applyBorder="1" applyAlignment="1">
      <alignment horizontal="center" vertical="center" wrapText="1"/>
    </xf>
    <xf numFmtId="0" fontId="58" fillId="0" borderId="114" xfId="0" applyFont="1" applyBorder="1" applyAlignment="1">
      <alignment horizontal="center" vertical="center" wrapText="1"/>
    </xf>
    <xf numFmtId="0" fontId="58" fillId="0" borderId="130" xfId="0" applyFont="1" applyBorder="1" applyAlignment="1">
      <alignment horizontal="center" vertical="center" wrapText="1"/>
    </xf>
    <xf numFmtId="0" fontId="58" fillId="0" borderId="87" xfId="0" applyFont="1" applyBorder="1" applyAlignment="1">
      <alignment horizontal="center" vertical="center" wrapText="1"/>
    </xf>
    <xf numFmtId="3" fontId="58" fillId="0" borderId="114" xfId="0" applyNumberFormat="1" applyFont="1" applyBorder="1" applyAlignment="1">
      <alignment horizontal="center" vertical="center" wrapText="1"/>
    </xf>
    <xf numFmtId="3" fontId="58" fillId="0" borderId="130" xfId="0" applyNumberFormat="1" applyFont="1" applyBorder="1" applyAlignment="1">
      <alignment horizontal="center" vertical="center" wrapText="1"/>
    </xf>
    <xf numFmtId="3" fontId="58" fillId="0" borderId="87" xfId="0" applyNumberFormat="1" applyFont="1" applyBorder="1" applyAlignment="1">
      <alignment horizontal="center" vertical="center" wrapText="1"/>
    </xf>
  </cellXfs>
  <cellStyles count="7">
    <cellStyle name="Normálna" xfId="0" builtinId="0"/>
    <cellStyle name="normálne 2" xfId="1" xr:uid="{00000000-0005-0000-0000-000001000000}"/>
    <cellStyle name="normálne 3" xfId="2" xr:uid="{00000000-0005-0000-0000-000002000000}"/>
    <cellStyle name="normální 2 2" xfId="5" xr:uid="{00000000-0005-0000-0000-000003000000}"/>
    <cellStyle name="normální 2 3 2" xfId="4" xr:uid="{00000000-0005-0000-0000-000004000000}"/>
    <cellStyle name="normální 3" xfId="6" xr:uid="{00000000-0005-0000-0000-000005000000}"/>
    <cellStyle name="normální_RozpŠk05O6 2 2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ovacikova\Documents\Rok%202024\Mesa&#269;n&#233;%20plnenie%202024\December%202024\tabu&#318;ky%20%20podrobn&#233;%20%202024.xlsx" TargetMode="External"/><Relationship Id="rId1" Type="http://schemas.openxmlformats.org/officeDocument/2006/relationships/externalLinkPath" Target="/Users/kovacikova/Documents/Rok%202024/Mesa&#269;n&#233;%20plnenie%202024/December%202024/tabu&#318;ky%20%20podrobn&#233;%20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ovacikova\Documents\Rok%202025\Mesa&#269;n&#233;%20plnenie%202025\December%202025\tabu&#318;ky%20%20podrobn&#233;%20%202025.xlsx" TargetMode="External"/><Relationship Id="rId1" Type="http://schemas.openxmlformats.org/officeDocument/2006/relationships/externalLinkPath" Target="/Users/kovacikova/Documents/Rok%202025/Mesa&#269;n&#233;%20plnenie%202025/December%202025/tabu&#318;ky%20%20podrobn&#233;%20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ovacikova\Documents\Rok%202026\1.%20&#250;prava%20rozpo&#269;tu%202026\tabu&#318;ky%20%20podrobn&#233;%20%202026.xlsx" TargetMode="External"/><Relationship Id="rId1" Type="http://schemas.openxmlformats.org/officeDocument/2006/relationships/externalLinkPath" Target="/Users/kovacikova/Documents/Rok%202026/1.%20&#250;prava%20rozpo&#269;tu%202026/tabu&#318;ky%20%20podrobn&#233;%20%202026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ovacikova\Documents\Rok%202026\2.%20&#250;prava%20rozpo&#269;tu%202026\tabu&#318;ky%20%20podrobn&#233;%202026.xlsx" TargetMode="External"/><Relationship Id="rId1" Type="http://schemas.openxmlformats.org/officeDocument/2006/relationships/externalLinkPath" Target="/Users/kovacikova/Documents/Rok%202026/2.%20&#250;prava%20rozpo&#269;tu%202026/tabu&#318;ky%20%20podrobn&#233;%20202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vacikova/AppData/Roaming/Microsoft/Excel/tabu&#318;ky%20%20podrobn&#233;%20%202014%20zn&#237;&#382;en&#23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y\Rok%202016\Mesa&#269;n&#233;%20plnenie%202016\December%20%202016\tabu&#318;ky%20%20podrobn&#233;%20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Plánovanie, manažment a kontr"/>
      <sheetName val="2. Propagácia a marketing"/>
      <sheetName val="3.Interné služby"/>
      <sheetName val="4.Služby občanov"/>
      <sheetName val="5.Bezpečnosť, právo a por."/>
      <sheetName val="6.Odpadové hospodárstvo"/>
      <sheetName val="7.Komunikácie"/>
      <sheetName val="8.Doprava"/>
      <sheetName val="9. Vzdelávanie"/>
      <sheetName val="10. Šport"/>
      <sheetName val="11. Kultúra"/>
      <sheetName val="12. Prostredie pre život"/>
      <sheetName val="13. Sociálna starostlivosť"/>
      <sheetName val="14. Bývanie"/>
      <sheetName val="15. Administratíva"/>
      <sheetName val="programy spolu"/>
      <sheetName val="Hárok1"/>
    </sheetNames>
    <sheetDataSet>
      <sheetData sheetId="0">
        <row r="5">
          <cell r="AF5">
            <v>118255.07999999999</v>
          </cell>
          <cell r="AG5">
            <v>0</v>
          </cell>
          <cell r="AH5">
            <v>0</v>
          </cell>
        </row>
        <row r="17">
          <cell r="AF17">
            <v>49824.71</v>
          </cell>
          <cell r="AG17">
            <v>0</v>
          </cell>
          <cell r="AH17">
            <v>0</v>
          </cell>
        </row>
        <row r="28">
          <cell r="AF28">
            <v>107818.70000000001</v>
          </cell>
          <cell r="AG28">
            <v>0</v>
          </cell>
          <cell r="AH28">
            <v>0</v>
          </cell>
        </row>
        <row r="33">
          <cell r="AF33">
            <v>0</v>
          </cell>
          <cell r="AG33">
            <v>0</v>
          </cell>
          <cell r="AH33">
            <v>0</v>
          </cell>
        </row>
        <row r="41">
          <cell r="AF41">
            <v>16878.8</v>
          </cell>
          <cell r="AG41">
            <v>0</v>
          </cell>
          <cell r="AH41">
            <v>0</v>
          </cell>
        </row>
        <row r="58">
          <cell r="AF58">
            <v>0</v>
          </cell>
          <cell r="AG58">
            <v>0</v>
          </cell>
          <cell r="AH58">
            <v>0</v>
          </cell>
        </row>
        <row r="62">
          <cell r="AF62">
            <v>1513.58</v>
          </cell>
          <cell r="AG62">
            <v>36997.440000000002</v>
          </cell>
          <cell r="AH62">
            <v>0</v>
          </cell>
        </row>
        <row r="79">
          <cell r="AF79">
            <v>80357.47</v>
          </cell>
          <cell r="AG79">
            <v>0</v>
          </cell>
          <cell r="AH79">
            <v>0</v>
          </cell>
        </row>
        <row r="88">
          <cell r="AF88">
            <v>7488</v>
          </cell>
          <cell r="AG88">
            <v>0</v>
          </cell>
          <cell r="AH88">
            <v>0</v>
          </cell>
        </row>
        <row r="92">
          <cell r="AF92">
            <v>11117.380000000001</v>
          </cell>
          <cell r="AG92">
            <v>0</v>
          </cell>
          <cell r="AH92">
            <v>0</v>
          </cell>
        </row>
        <row r="95">
          <cell r="AF95">
            <v>0</v>
          </cell>
          <cell r="AG95">
            <v>0</v>
          </cell>
          <cell r="AH95">
            <v>0</v>
          </cell>
        </row>
      </sheetData>
      <sheetData sheetId="1">
        <row r="5">
          <cell r="AF5">
            <v>433.52</v>
          </cell>
          <cell r="AG5">
            <v>0</v>
          </cell>
          <cell r="AH5">
            <v>0</v>
          </cell>
        </row>
        <row r="7">
          <cell r="AF7">
            <v>965.25</v>
          </cell>
          <cell r="AG7">
            <v>0</v>
          </cell>
          <cell r="AH7">
            <v>0</v>
          </cell>
        </row>
        <row r="12">
          <cell r="AF12">
            <v>7039.74</v>
          </cell>
          <cell r="AG12">
            <v>0</v>
          </cell>
          <cell r="AH12">
            <v>0</v>
          </cell>
        </row>
        <row r="20">
          <cell r="AF20">
            <v>0</v>
          </cell>
          <cell r="AG20">
            <v>0</v>
          </cell>
          <cell r="AH20">
            <v>0</v>
          </cell>
        </row>
        <row r="22">
          <cell r="AF22">
            <v>0</v>
          </cell>
          <cell r="AG22">
            <v>0</v>
          </cell>
          <cell r="AH22">
            <v>0</v>
          </cell>
        </row>
        <row r="25">
          <cell r="AF25">
            <v>0</v>
          </cell>
          <cell r="AG25">
            <v>0</v>
          </cell>
          <cell r="AH25">
            <v>0</v>
          </cell>
        </row>
        <row r="27">
          <cell r="AF27">
            <v>2000</v>
          </cell>
          <cell r="AG27">
            <v>0</v>
          </cell>
          <cell r="AH27">
            <v>0</v>
          </cell>
        </row>
        <row r="29">
          <cell r="AF29">
            <v>7000</v>
          </cell>
          <cell r="AG29">
            <v>0</v>
          </cell>
          <cell r="AH29">
            <v>0</v>
          </cell>
        </row>
        <row r="32">
          <cell r="AF32">
            <v>10509.91</v>
          </cell>
          <cell r="AG32">
            <v>0</v>
          </cell>
          <cell r="AH32">
            <v>0</v>
          </cell>
        </row>
        <row r="46">
          <cell r="AF46">
            <v>570</v>
          </cell>
          <cell r="AG46">
            <v>0</v>
          </cell>
          <cell r="AH46">
            <v>0</v>
          </cell>
        </row>
        <row r="51">
          <cell r="AF51">
            <v>4626.54</v>
          </cell>
          <cell r="AG51">
            <v>0</v>
          </cell>
          <cell r="AH51">
            <v>0</v>
          </cell>
        </row>
      </sheetData>
      <sheetData sheetId="2">
        <row r="4">
          <cell r="AF4">
            <v>77675.92</v>
          </cell>
          <cell r="AG4">
            <v>0</v>
          </cell>
          <cell r="AH4">
            <v>0</v>
          </cell>
        </row>
        <row r="23">
          <cell r="AF23">
            <v>114266.5</v>
          </cell>
          <cell r="AG23">
            <v>0</v>
          </cell>
          <cell r="AH23">
            <v>0</v>
          </cell>
        </row>
        <row r="29">
          <cell r="AF29">
            <v>2459.1000000000004</v>
          </cell>
          <cell r="AG29">
            <v>0</v>
          </cell>
          <cell r="AH29">
            <v>0</v>
          </cell>
        </row>
        <row r="34">
          <cell r="AF34">
            <v>15772.080000000002</v>
          </cell>
          <cell r="AG34">
            <v>0</v>
          </cell>
          <cell r="AH34">
            <v>0</v>
          </cell>
        </row>
        <row r="37">
          <cell r="AF37">
            <v>159579.66999999998</v>
          </cell>
          <cell r="AG37">
            <v>2</v>
          </cell>
          <cell r="AH37">
            <v>0</v>
          </cell>
        </row>
        <row r="95">
          <cell r="AF95">
            <v>1401</v>
          </cell>
          <cell r="AG95">
            <v>10155.219999999999</v>
          </cell>
          <cell r="AH95">
            <v>0</v>
          </cell>
        </row>
        <row r="100">
          <cell r="AF100">
            <v>4282.55</v>
          </cell>
          <cell r="AG100">
            <v>0</v>
          </cell>
          <cell r="AH100">
            <v>0</v>
          </cell>
        </row>
        <row r="106">
          <cell r="AF106">
            <v>0</v>
          </cell>
          <cell r="AG106">
            <v>0</v>
          </cell>
          <cell r="AH106">
            <v>0</v>
          </cell>
        </row>
      </sheetData>
      <sheetData sheetId="3">
        <row r="4">
          <cell r="AF4">
            <v>21559.89</v>
          </cell>
          <cell r="AG4">
            <v>0</v>
          </cell>
          <cell r="AH4">
            <v>0</v>
          </cell>
        </row>
        <row r="17">
          <cell r="AF17">
            <v>33561.130000000005</v>
          </cell>
          <cell r="AG17">
            <v>0</v>
          </cell>
          <cell r="AH17">
            <v>0</v>
          </cell>
        </row>
        <row r="29">
          <cell r="AF29">
            <v>0</v>
          </cell>
          <cell r="AG29">
            <v>0</v>
          </cell>
          <cell r="AH29">
            <v>0</v>
          </cell>
        </row>
        <row r="31">
          <cell r="AF31"/>
          <cell r="AG31"/>
          <cell r="AH31"/>
        </row>
      </sheetData>
      <sheetData sheetId="4">
        <row r="5">
          <cell r="AF5">
            <v>660092.69999999995</v>
          </cell>
          <cell r="AG5">
            <v>0</v>
          </cell>
          <cell r="AH5">
            <v>0</v>
          </cell>
        </row>
        <row r="60">
          <cell r="AF60">
            <v>170636.23999999996</v>
          </cell>
          <cell r="AG60">
            <v>0</v>
          </cell>
          <cell r="AH60">
            <v>0</v>
          </cell>
        </row>
        <row r="83">
          <cell r="AF83">
            <v>74013.739999999991</v>
          </cell>
          <cell r="AG83">
            <v>0</v>
          </cell>
          <cell r="AH83">
            <v>0</v>
          </cell>
        </row>
        <row r="86">
          <cell r="AF86">
            <v>75966.75</v>
          </cell>
          <cell r="AG86">
            <v>0</v>
          </cell>
          <cell r="AH86">
            <v>0</v>
          </cell>
        </row>
        <row r="94">
          <cell r="AF94">
            <v>0</v>
          </cell>
          <cell r="AG94">
            <v>0</v>
          </cell>
          <cell r="AH94">
            <v>0</v>
          </cell>
        </row>
        <row r="96">
          <cell r="AF96">
            <v>4049.1500000000005</v>
          </cell>
          <cell r="AG96">
            <v>0</v>
          </cell>
          <cell r="AH96">
            <v>0</v>
          </cell>
        </row>
        <row r="114">
          <cell r="AF114">
            <v>0</v>
          </cell>
          <cell r="AG114">
            <v>115000</v>
          </cell>
          <cell r="AH114">
            <v>0</v>
          </cell>
        </row>
        <row r="121">
          <cell r="AF121">
            <v>125766.99</v>
          </cell>
          <cell r="AG121">
            <v>0</v>
          </cell>
          <cell r="AH121">
            <v>0</v>
          </cell>
        </row>
        <row r="124">
          <cell r="AF124">
            <v>107585.87</v>
          </cell>
          <cell r="AG124">
            <v>0</v>
          </cell>
          <cell r="AH124">
            <v>0</v>
          </cell>
        </row>
        <row r="127">
          <cell r="AF127">
            <v>0</v>
          </cell>
          <cell r="AG127">
            <v>0</v>
          </cell>
          <cell r="AH127">
            <v>0</v>
          </cell>
        </row>
        <row r="131">
          <cell r="AF131">
            <v>5003</v>
          </cell>
          <cell r="AG131">
            <v>0</v>
          </cell>
          <cell r="AH131">
            <v>0</v>
          </cell>
        </row>
        <row r="133">
          <cell r="AF133">
            <v>3000</v>
          </cell>
          <cell r="AG133">
            <v>0</v>
          </cell>
          <cell r="AH133">
            <v>0</v>
          </cell>
        </row>
      </sheetData>
      <sheetData sheetId="5">
        <row r="5">
          <cell r="AF5">
            <v>2597.31</v>
          </cell>
          <cell r="AG5">
            <v>0</v>
          </cell>
          <cell r="AH5">
            <v>0</v>
          </cell>
        </row>
        <row r="10">
          <cell r="AF10">
            <v>745074.98</v>
          </cell>
          <cell r="AG10">
            <v>0</v>
          </cell>
          <cell r="AH10">
            <v>0</v>
          </cell>
        </row>
        <row r="26">
          <cell r="AF26">
            <v>0</v>
          </cell>
          <cell r="AG26">
            <v>0</v>
          </cell>
          <cell r="AH26">
            <v>0</v>
          </cell>
        </row>
        <row r="29">
          <cell r="AF29">
            <v>0</v>
          </cell>
          <cell r="AG29">
            <v>0</v>
          </cell>
          <cell r="AH29">
            <v>0</v>
          </cell>
        </row>
        <row r="31">
          <cell r="AF31">
            <v>191130.09</v>
          </cell>
          <cell r="AG31">
            <v>0</v>
          </cell>
          <cell r="AH31">
            <v>0</v>
          </cell>
        </row>
      </sheetData>
      <sheetData sheetId="6">
        <row r="5">
          <cell r="AF5">
            <v>0</v>
          </cell>
          <cell r="AG5">
            <v>0</v>
          </cell>
          <cell r="AH5">
            <v>0</v>
          </cell>
        </row>
        <row r="7">
          <cell r="AF7">
            <v>0</v>
          </cell>
          <cell r="AG7">
            <v>226899.96</v>
          </cell>
          <cell r="AH7">
            <v>0</v>
          </cell>
        </row>
        <row r="15">
          <cell r="AF15">
            <v>80844.92</v>
          </cell>
          <cell r="AG15">
            <v>0</v>
          </cell>
          <cell r="AH15">
            <v>0</v>
          </cell>
        </row>
        <row r="17">
          <cell r="AF17">
            <v>292041.21000000002</v>
          </cell>
          <cell r="AG17">
            <v>0</v>
          </cell>
          <cell r="AH17">
            <v>0</v>
          </cell>
        </row>
        <row r="19">
          <cell r="AF19">
            <v>69385.840000000011</v>
          </cell>
          <cell r="AG19">
            <v>0</v>
          </cell>
          <cell r="AH19">
            <v>0</v>
          </cell>
        </row>
        <row r="26">
          <cell r="AF26">
            <v>12474.08</v>
          </cell>
          <cell r="AG26">
            <v>0</v>
          </cell>
          <cell r="AH26">
            <v>0</v>
          </cell>
        </row>
        <row r="28">
          <cell r="AF28">
            <v>2598.15</v>
          </cell>
          <cell r="AG28">
            <v>0</v>
          </cell>
          <cell r="AH28">
            <v>0</v>
          </cell>
        </row>
        <row r="31">
          <cell r="AF31">
            <v>0</v>
          </cell>
          <cell r="AG31">
            <v>0</v>
          </cell>
          <cell r="AH31">
            <v>0</v>
          </cell>
        </row>
        <row r="33">
          <cell r="AF33">
            <v>36119.06</v>
          </cell>
          <cell r="AG33">
            <v>0</v>
          </cell>
          <cell r="AH33">
            <v>0</v>
          </cell>
        </row>
        <row r="36">
          <cell r="AF36">
            <v>5000</v>
          </cell>
          <cell r="AG36">
            <v>7844.2</v>
          </cell>
          <cell r="AH36">
            <v>0</v>
          </cell>
        </row>
        <row r="39">
          <cell r="AF39">
            <v>0</v>
          </cell>
          <cell r="AG39">
            <v>0</v>
          </cell>
          <cell r="AH39">
            <v>0</v>
          </cell>
        </row>
      </sheetData>
      <sheetData sheetId="7">
        <row r="4">
          <cell r="AF4">
            <v>166429.76999999999</v>
          </cell>
          <cell r="AG4">
            <v>0</v>
          </cell>
          <cell r="AH4">
            <v>0</v>
          </cell>
        </row>
        <row r="7">
          <cell r="AF7">
            <v>700</v>
          </cell>
          <cell r="AG7">
            <v>0</v>
          </cell>
          <cell r="AH7">
            <v>0</v>
          </cell>
        </row>
      </sheetData>
      <sheetData sheetId="8">
        <row r="4">
          <cell r="AF4">
            <v>5031.84</v>
          </cell>
          <cell r="AG4">
            <v>0</v>
          </cell>
          <cell r="AH4">
            <v>0</v>
          </cell>
        </row>
        <row r="20">
          <cell r="AF20">
            <v>262474</v>
          </cell>
          <cell r="AG20">
            <v>238306.36</v>
          </cell>
          <cell r="AH20"/>
        </row>
        <row r="21">
          <cell r="AF21">
            <v>398682</v>
          </cell>
          <cell r="AG21">
            <v>25391.54</v>
          </cell>
          <cell r="AH21"/>
        </row>
        <row r="22">
          <cell r="AF22">
            <v>650169.80000000005</v>
          </cell>
          <cell r="AG22">
            <v>11305.2</v>
          </cell>
          <cell r="AH22"/>
        </row>
        <row r="23">
          <cell r="AF23"/>
          <cell r="AG23"/>
          <cell r="AH23"/>
        </row>
        <row r="24">
          <cell r="AF24">
            <v>296705</v>
          </cell>
          <cell r="AG24"/>
          <cell r="AH24"/>
        </row>
        <row r="25">
          <cell r="AF25">
            <v>326940</v>
          </cell>
          <cell r="AG25">
            <v>3000</v>
          </cell>
          <cell r="AH25"/>
        </row>
        <row r="26">
          <cell r="AF26">
            <v>327336</v>
          </cell>
          <cell r="AG26"/>
          <cell r="AH26"/>
        </row>
        <row r="27">
          <cell r="AF27">
            <v>87897</v>
          </cell>
          <cell r="AG27"/>
          <cell r="AH27"/>
        </row>
        <row r="29">
          <cell r="AF29">
            <v>737664</v>
          </cell>
          <cell r="AG29">
            <v>79471.86</v>
          </cell>
          <cell r="AH29">
            <v>0</v>
          </cell>
        </row>
        <row r="32">
          <cell r="AF32">
            <v>1143621</v>
          </cell>
          <cell r="AG32">
            <v>0</v>
          </cell>
          <cell r="AH32">
            <v>0</v>
          </cell>
        </row>
        <row r="36">
          <cell r="AF36">
            <v>1870783</v>
          </cell>
          <cell r="AG36">
            <v>0</v>
          </cell>
          <cell r="AH36">
            <v>0</v>
          </cell>
        </row>
        <row r="41">
          <cell r="AF41">
            <v>1696163</v>
          </cell>
          <cell r="AG41">
            <v>0</v>
          </cell>
          <cell r="AH41">
            <v>0</v>
          </cell>
        </row>
        <row r="44">
          <cell r="AF44">
            <v>1269073.49</v>
          </cell>
          <cell r="AG44">
            <v>80981.509999999995</v>
          </cell>
          <cell r="AH44">
            <v>0</v>
          </cell>
        </row>
        <row r="47">
          <cell r="AF47">
            <v>742160</v>
          </cell>
          <cell r="AG47">
            <v>0</v>
          </cell>
          <cell r="AH47">
            <v>0</v>
          </cell>
        </row>
        <row r="51">
          <cell r="AF51">
            <v>768648</v>
          </cell>
          <cell r="AG51"/>
          <cell r="AH51"/>
        </row>
        <row r="52">
          <cell r="AF52">
            <v>320425</v>
          </cell>
          <cell r="AG52"/>
          <cell r="AH52"/>
        </row>
        <row r="53">
          <cell r="AF53">
            <v>1093914.28</v>
          </cell>
          <cell r="AG53">
            <v>0</v>
          </cell>
          <cell r="AH53">
            <v>0</v>
          </cell>
        </row>
        <row r="77">
          <cell r="AF77">
            <v>1017683.24</v>
          </cell>
          <cell r="AG77">
            <v>32432.52</v>
          </cell>
          <cell r="AH77"/>
        </row>
        <row r="78">
          <cell r="AF78">
            <v>74647.3</v>
          </cell>
          <cell r="AG78">
            <v>0</v>
          </cell>
          <cell r="AH78">
            <v>0</v>
          </cell>
        </row>
        <row r="85">
          <cell r="AF85">
            <v>1026463.3200000001</v>
          </cell>
          <cell r="AG85"/>
          <cell r="AH85"/>
        </row>
      </sheetData>
      <sheetData sheetId="9">
        <row r="4">
          <cell r="AF4">
            <v>2001.37</v>
          </cell>
          <cell r="AG4">
            <v>0</v>
          </cell>
          <cell r="AH4">
            <v>0</v>
          </cell>
        </row>
        <row r="12">
          <cell r="AF12">
            <v>40944.58</v>
          </cell>
          <cell r="AG12">
            <v>0</v>
          </cell>
          <cell r="AH12">
            <v>0</v>
          </cell>
        </row>
        <row r="32">
          <cell r="AF32">
            <v>73615.34</v>
          </cell>
          <cell r="AG32">
            <v>0</v>
          </cell>
          <cell r="AH32">
            <v>0</v>
          </cell>
        </row>
        <row r="54">
          <cell r="AF54">
            <v>22006.25</v>
          </cell>
          <cell r="AG54">
            <v>0</v>
          </cell>
          <cell r="AH54">
            <v>0</v>
          </cell>
        </row>
        <row r="66">
          <cell r="AF66">
            <v>189436.77</v>
          </cell>
          <cell r="AG66">
            <v>0</v>
          </cell>
          <cell r="AH66">
            <v>0</v>
          </cell>
        </row>
        <row r="87">
          <cell r="AF87">
            <v>8843.67</v>
          </cell>
          <cell r="AG87">
            <v>0</v>
          </cell>
          <cell r="AH87">
            <v>0</v>
          </cell>
        </row>
        <row r="95">
          <cell r="AF95">
            <v>110</v>
          </cell>
          <cell r="AG95">
            <v>0</v>
          </cell>
          <cell r="AH95">
            <v>0</v>
          </cell>
        </row>
        <row r="101">
          <cell r="AF101">
            <v>24167.57</v>
          </cell>
          <cell r="AG101">
            <v>0</v>
          </cell>
          <cell r="AH101">
            <v>0</v>
          </cell>
        </row>
        <row r="109">
          <cell r="AF109">
            <v>2800</v>
          </cell>
          <cell r="AG109">
            <v>0</v>
          </cell>
          <cell r="AH109">
            <v>0</v>
          </cell>
        </row>
      </sheetData>
      <sheetData sheetId="10">
        <row r="4">
          <cell r="AF4">
            <v>11073.48</v>
          </cell>
          <cell r="AG4">
            <v>0</v>
          </cell>
          <cell r="AH4">
            <v>0</v>
          </cell>
        </row>
        <row r="20">
          <cell r="AF20">
            <v>196616.62</v>
          </cell>
          <cell r="AG20">
            <v>0</v>
          </cell>
          <cell r="AH20">
            <v>0</v>
          </cell>
        </row>
        <row r="27">
          <cell r="AF27">
            <v>289</v>
          </cell>
          <cell r="AG27">
            <v>0</v>
          </cell>
          <cell r="AH27">
            <v>0</v>
          </cell>
        </row>
        <row r="37">
          <cell r="AF37">
            <v>746219.59999999974</v>
          </cell>
          <cell r="AG37">
            <v>497674.32</v>
          </cell>
          <cell r="AH37">
            <v>0</v>
          </cell>
        </row>
        <row r="126">
          <cell r="AF126">
            <v>5609.619999999999</v>
          </cell>
          <cell r="AG126">
            <v>0</v>
          </cell>
          <cell r="AH126">
            <v>0</v>
          </cell>
        </row>
        <row r="141">
          <cell r="AF141">
            <v>0</v>
          </cell>
          <cell r="AG141">
            <v>0</v>
          </cell>
          <cell r="AH141">
            <v>0</v>
          </cell>
        </row>
        <row r="144">
          <cell r="AF144">
            <v>2800</v>
          </cell>
          <cell r="AG144">
            <v>0</v>
          </cell>
          <cell r="AH144">
            <v>0</v>
          </cell>
        </row>
      </sheetData>
      <sheetData sheetId="11">
        <row r="5">
          <cell r="AF5">
            <v>273236.92</v>
          </cell>
          <cell r="AG5">
            <v>684597.76000000001</v>
          </cell>
          <cell r="AH5">
            <v>0</v>
          </cell>
        </row>
        <row r="23">
          <cell r="AF23">
            <v>4854</v>
          </cell>
          <cell r="AG23">
            <v>0</v>
          </cell>
          <cell r="AH23">
            <v>0</v>
          </cell>
        </row>
        <row r="25">
          <cell r="AF25">
            <v>0</v>
          </cell>
          <cell r="AG25">
            <v>0</v>
          </cell>
          <cell r="AH25">
            <v>0</v>
          </cell>
        </row>
        <row r="42">
          <cell r="AF42">
            <v>714</v>
          </cell>
          <cell r="AG42">
            <v>0</v>
          </cell>
          <cell r="AH42">
            <v>0</v>
          </cell>
        </row>
        <row r="46">
          <cell r="AF46">
            <v>2268</v>
          </cell>
          <cell r="AG46">
            <v>0</v>
          </cell>
          <cell r="AH46">
            <v>0</v>
          </cell>
        </row>
        <row r="49">
          <cell r="AF49">
            <v>15397.550000000001</v>
          </cell>
          <cell r="AG49">
            <v>0</v>
          </cell>
          <cell r="AH49">
            <v>0</v>
          </cell>
        </row>
        <row r="70">
          <cell r="AF70">
            <v>533.16999999999996</v>
          </cell>
          <cell r="AG70">
            <v>0</v>
          </cell>
          <cell r="AH70">
            <v>0</v>
          </cell>
        </row>
        <row r="72">
          <cell r="AF72">
            <v>40562.26</v>
          </cell>
          <cell r="AG72">
            <v>0</v>
          </cell>
          <cell r="AH72">
            <v>0</v>
          </cell>
        </row>
        <row r="76">
          <cell r="AF76">
            <v>25592.010000000002</v>
          </cell>
          <cell r="AG76">
            <v>9990</v>
          </cell>
          <cell r="AH76">
            <v>0</v>
          </cell>
        </row>
        <row r="104">
          <cell r="AF104">
            <v>0</v>
          </cell>
          <cell r="AG104">
            <v>0</v>
          </cell>
          <cell r="AH104">
            <v>0</v>
          </cell>
        </row>
      </sheetData>
      <sheetData sheetId="12">
        <row r="5">
          <cell r="AF5">
            <v>39830</v>
          </cell>
          <cell r="AG5">
            <v>0</v>
          </cell>
          <cell r="AH5">
            <v>0</v>
          </cell>
        </row>
        <row r="8">
          <cell r="AF8"/>
          <cell r="AG8"/>
          <cell r="AH8"/>
        </row>
        <row r="9">
          <cell r="AF9">
            <v>8490.4</v>
          </cell>
          <cell r="AG9">
            <v>0</v>
          </cell>
          <cell r="AH9">
            <v>0</v>
          </cell>
        </row>
        <row r="17">
          <cell r="AF17">
            <v>77600</v>
          </cell>
          <cell r="AG17">
            <v>15981.96</v>
          </cell>
          <cell r="AH17">
            <v>0</v>
          </cell>
        </row>
        <row r="21">
          <cell r="AF21">
            <v>39750</v>
          </cell>
          <cell r="AG21">
            <v>0</v>
          </cell>
          <cell r="AH21">
            <v>0</v>
          </cell>
        </row>
        <row r="24">
          <cell r="AF24">
            <v>0</v>
          </cell>
          <cell r="AG24">
            <v>0</v>
          </cell>
          <cell r="AH24">
            <v>0</v>
          </cell>
        </row>
        <row r="26">
          <cell r="AF26">
            <v>123476.92</v>
          </cell>
          <cell r="AG26">
            <v>0</v>
          </cell>
          <cell r="AH26">
            <v>0</v>
          </cell>
        </row>
        <row r="30">
          <cell r="AF30">
            <v>63120</v>
          </cell>
          <cell r="AG30">
            <v>0</v>
          </cell>
          <cell r="AH30">
            <v>0</v>
          </cell>
        </row>
        <row r="33">
          <cell r="AF33">
            <v>0</v>
          </cell>
          <cell r="AG33">
            <v>0</v>
          </cell>
          <cell r="AH33">
            <v>0</v>
          </cell>
        </row>
        <row r="35">
          <cell r="AF35">
            <v>1390349.2999999998</v>
          </cell>
          <cell r="AG35">
            <v>5369.71</v>
          </cell>
          <cell r="AH35">
            <v>0</v>
          </cell>
        </row>
        <row r="50">
          <cell r="AF50">
            <v>246440</v>
          </cell>
          <cell r="AG50">
            <v>0</v>
          </cell>
          <cell r="AH50">
            <v>0</v>
          </cell>
        </row>
        <row r="55">
          <cell r="AF55">
            <v>46770</v>
          </cell>
          <cell r="AG55">
            <v>0</v>
          </cell>
          <cell r="AH55">
            <v>0</v>
          </cell>
        </row>
        <row r="59">
          <cell r="AF59">
            <v>2210</v>
          </cell>
          <cell r="AG59">
            <v>0</v>
          </cell>
          <cell r="AH59">
            <v>0</v>
          </cell>
        </row>
        <row r="62">
          <cell r="AF62">
            <v>71580</v>
          </cell>
          <cell r="AG62">
            <v>0</v>
          </cell>
          <cell r="AH62">
            <v>0</v>
          </cell>
        </row>
        <row r="65">
          <cell r="AF65">
            <v>7970</v>
          </cell>
          <cell r="AG65">
            <v>0</v>
          </cell>
          <cell r="AH65">
            <v>0</v>
          </cell>
        </row>
        <row r="67">
          <cell r="AF67">
            <v>233.15</v>
          </cell>
          <cell r="AG67">
            <v>0</v>
          </cell>
          <cell r="AH67">
            <v>0</v>
          </cell>
        </row>
        <row r="79">
          <cell r="AF79">
            <v>42884.000000000007</v>
          </cell>
          <cell r="AG79">
            <v>0</v>
          </cell>
          <cell r="AH79">
            <v>0</v>
          </cell>
        </row>
        <row r="104">
          <cell r="AF104">
            <v>16213.8</v>
          </cell>
          <cell r="AG104">
            <v>0</v>
          </cell>
          <cell r="AH104">
            <v>0</v>
          </cell>
        </row>
        <row r="106">
          <cell r="AF106">
            <v>174151.14</v>
          </cell>
          <cell r="AG106">
            <v>0</v>
          </cell>
          <cell r="AH106">
            <v>0</v>
          </cell>
        </row>
        <row r="112">
          <cell r="AF112">
            <v>523080</v>
          </cell>
          <cell r="AG112">
            <v>0</v>
          </cell>
          <cell r="AH112">
            <v>4429.8</v>
          </cell>
        </row>
      </sheetData>
      <sheetData sheetId="13">
        <row r="24">
          <cell r="AF24">
            <v>612564.55999999994</v>
          </cell>
          <cell r="AG24">
            <v>0</v>
          </cell>
          <cell r="AH24">
            <v>222493.18000000002</v>
          </cell>
        </row>
      </sheetData>
      <sheetData sheetId="14">
        <row r="4">
          <cell r="AF4">
            <v>2437976.38</v>
          </cell>
          <cell r="AG4">
            <v>4273.2</v>
          </cell>
          <cell r="AH4">
            <v>0</v>
          </cell>
        </row>
        <row r="102">
          <cell r="AF102"/>
          <cell r="AG102"/>
          <cell r="AH102"/>
        </row>
        <row r="103">
          <cell r="AF103">
            <v>296375.65000000002</v>
          </cell>
          <cell r="AG103">
            <v>0</v>
          </cell>
          <cell r="AH103">
            <v>4991387.93</v>
          </cell>
        </row>
      </sheetData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Plánovanie, manažment a kontr"/>
      <sheetName val="2. Propagácia a marketing"/>
      <sheetName val="3.Interné služby"/>
      <sheetName val="4.Služby občanov"/>
      <sheetName val="5.Bezpečnosť, právo a por."/>
      <sheetName val="6.Odpadové hospodárstvo"/>
      <sheetName val="7.Komunikácie"/>
      <sheetName val="8.Doprava"/>
      <sheetName val="9. Vzdelávanie"/>
      <sheetName val="10. Šport"/>
      <sheetName val="11. Kultúra"/>
      <sheetName val="12. Prostredie pre život"/>
      <sheetName val="13. Sociálna starostlivosť"/>
      <sheetName val="14. Bývanie"/>
      <sheetName val="15. Administratíva"/>
      <sheetName val="programy spolu"/>
      <sheetName val="Hárok1"/>
    </sheetNames>
    <sheetDataSet>
      <sheetData sheetId="0">
        <row r="5">
          <cell r="AI5">
            <v>111421.81999999999</v>
          </cell>
          <cell r="AJ5">
            <v>0</v>
          </cell>
          <cell r="AK5">
            <v>0</v>
          </cell>
        </row>
        <row r="17">
          <cell r="AI17">
            <v>50056</v>
          </cell>
          <cell r="AJ17">
            <v>0</v>
          </cell>
          <cell r="AK17">
            <v>0</v>
          </cell>
        </row>
        <row r="28">
          <cell r="AI28">
            <v>111422.45999999999</v>
          </cell>
          <cell r="AJ28">
            <v>0</v>
          </cell>
          <cell r="AK28">
            <v>0</v>
          </cell>
        </row>
        <row r="33">
          <cell r="AI33">
            <v>0</v>
          </cell>
          <cell r="AJ33">
            <v>0</v>
          </cell>
          <cell r="AK33">
            <v>0</v>
          </cell>
        </row>
        <row r="41">
          <cell r="AI41">
            <v>21240.6</v>
          </cell>
          <cell r="AJ41">
            <v>0</v>
          </cell>
          <cell r="AK41">
            <v>0</v>
          </cell>
        </row>
        <row r="58">
          <cell r="AI58">
            <v>8639</v>
          </cell>
          <cell r="AJ58">
            <v>0</v>
          </cell>
          <cell r="AK58">
            <v>0</v>
          </cell>
        </row>
        <row r="62">
          <cell r="AI62">
            <v>20</v>
          </cell>
          <cell r="AJ62">
            <v>12333.96</v>
          </cell>
          <cell r="AK62">
            <v>0</v>
          </cell>
        </row>
        <row r="79">
          <cell r="AI79">
            <v>80427.429999999993</v>
          </cell>
          <cell r="AJ79">
            <v>0</v>
          </cell>
          <cell r="AK79">
            <v>0</v>
          </cell>
        </row>
        <row r="88">
          <cell r="AI88">
            <v>7470</v>
          </cell>
          <cell r="AJ88">
            <v>0</v>
          </cell>
          <cell r="AK88">
            <v>0</v>
          </cell>
        </row>
        <row r="92">
          <cell r="AI92">
            <v>13950</v>
          </cell>
          <cell r="AJ92">
            <v>0</v>
          </cell>
          <cell r="AK92">
            <v>0</v>
          </cell>
        </row>
        <row r="95">
          <cell r="AI95">
            <v>0</v>
          </cell>
          <cell r="AJ95">
            <v>0</v>
          </cell>
          <cell r="AK95">
            <v>0</v>
          </cell>
        </row>
      </sheetData>
      <sheetData sheetId="1">
        <row r="5">
          <cell r="AI5">
            <v>400.46</v>
          </cell>
          <cell r="AJ5">
            <v>0</v>
          </cell>
          <cell r="AK5">
            <v>0</v>
          </cell>
        </row>
        <row r="7">
          <cell r="AI7">
            <v>598.4</v>
          </cell>
          <cell r="AJ7">
            <v>0</v>
          </cell>
          <cell r="AK7">
            <v>0</v>
          </cell>
        </row>
        <row r="12">
          <cell r="AI12">
            <v>2177.02</v>
          </cell>
          <cell r="AJ12">
            <v>0</v>
          </cell>
          <cell r="AK12">
            <v>0</v>
          </cell>
        </row>
        <row r="20">
          <cell r="AI20">
            <v>0</v>
          </cell>
          <cell r="AJ20">
            <v>0</v>
          </cell>
          <cell r="AK20">
            <v>0</v>
          </cell>
        </row>
        <row r="22">
          <cell r="AI22">
            <v>0</v>
          </cell>
          <cell r="AJ22">
            <v>0</v>
          </cell>
          <cell r="AK22">
            <v>0</v>
          </cell>
        </row>
        <row r="25">
          <cell r="AI25">
            <v>0</v>
          </cell>
          <cell r="AJ25">
            <v>0</v>
          </cell>
          <cell r="AK25">
            <v>0</v>
          </cell>
        </row>
        <row r="27">
          <cell r="AI27">
            <v>1575</v>
          </cell>
          <cell r="AJ27">
            <v>0</v>
          </cell>
          <cell r="AK27">
            <v>0</v>
          </cell>
        </row>
        <row r="29">
          <cell r="AI29">
            <v>5000</v>
          </cell>
          <cell r="AJ29">
            <v>0</v>
          </cell>
          <cell r="AK29">
            <v>0</v>
          </cell>
        </row>
        <row r="32">
          <cell r="AI32">
            <v>1038.5</v>
          </cell>
          <cell r="AJ32">
            <v>0</v>
          </cell>
          <cell r="AK32">
            <v>0</v>
          </cell>
        </row>
        <row r="46">
          <cell r="AI46">
            <v>500</v>
          </cell>
          <cell r="AJ46">
            <v>0</v>
          </cell>
          <cell r="AK46">
            <v>0</v>
          </cell>
        </row>
        <row r="51">
          <cell r="AI51">
            <v>5385.84</v>
          </cell>
          <cell r="AJ51">
            <v>0</v>
          </cell>
          <cell r="AK51">
            <v>0</v>
          </cell>
        </row>
      </sheetData>
      <sheetData sheetId="2">
        <row r="4">
          <cell r="AI4">
            <v>82456.639999999999</v>
          </cell>
          <cell r="AJ4">
            <v>5116.8</v>
          </cell>
          <cell r="AK4">
            <v>0</v>
          </cell>
        </row>
        <row r="23">
          <cell r="AI23">
            <v>73.8</v>
          </cell>
          <cell r="AJ23">
            <v>0</v>
          </cell>
          <cell r="AK23">
            <v>0</v>
          </cell>
        </row>
        <row r="29">
          <cell r="AI29">
            <v>744</v>
          </cell>
          <cell r="AJ29">
            <v>0</v>
          </cell>
          <cell r="AK29">
            <v>0</v>
          </cell>
        </row>
        <row r="34">
          <cell r="AI34">
            <v>16390.490000000002</v>
          </cell>
          <cell r="AJ34">
            <v>0</v>
          </cell>
          <cell r="AK34">
            <v>0</v>
          </cell>
        </row>
        <row r="37">
          <cell r="AI37">
            <v>188175.29999999996</v>
          </cell>
          <cell r="AJ37">
            <v>0</v>
          </cell>
          <cell r="AK37">
            <v>0</v>
          </cell>
        </row>
        <row r="95">
          <cell r="AI95">
            <v>300</v>
          </cell>
          <cell r="AJ95">
            <v>6384.8</v>
          </cell>
          <cell r="AK95">
            <v>0</v>
          </cell>
        </row>
        <row r="100">
          <cell r="AI100">
            <v>4851.42</v>
          </cell>
          <cell r="AJ100">
            <v>0</v>
          </cell>
          <cell r="AK100">
            <v>0</v>
          </cell>
        </row>
        <row r="106">
          <cell r="AI106">
            <v>0</v>
          </cell>
          <cell r="AJ106">
            <v>0</v>
          </cell>
          <cell r="AK106">
            <v>0</v>
          </cell>
        </row>
      </sheetData>
      <sheetData sheetId="3">
        <row r="4">
          <cell r="AI4">
            <v>19963.559999999998</v>
          </cell>
          <cell r="AJ4">
            <v>0</v>
          </cell>
          <cell r="AK4">
            <v>0</v>
          </cell>
        </row>
        <row r="17">
          <cell r="AI17">
            <v>32802.890000000007</v>
          </cell>
          <cell r="AJ17">
            <v>0</v>
          </cell>
          <cell r="AK17">
            <v>0</v>
          </cell>
        </row>
        <row r="29">
          <cell r="AI29">
            <v>0</v>
          </cell>
          <cell r="AJ29">
            <v>0</v>
          </cell>
          <cell r="AK29">
            <v>0</v>
          </cell>
        </row>
        <row r="31">
          <cell r="AI31"/>
          <cell r="AJ31"/>
          <cell r="AK31"/>
        </row>
      </sheetData>
      <sheetData sheetId="4">
        <row r="5">
          <cell r="AI5">
            <v>675691.50000000012</v>
          </cell>
          <cell r="AJ5">
            <v>77036.539999999994</v>
          </cell>
          <cell r="AK5">
            <v>0</v>
          </cell>
        </row>
        <row r="61">
          <cell r="AI61">
            <v>175958.87</v>
          </cell>
          <cell r="AJ61">
            <v>0</v>
          </cell>
          <cell r="AK61">
            <v>0</v>
          </cell>
        </row>
        <row r="84">
          <cell r="AI84">
            <v>78209.259999999995</v>
          </cell>
          <cell r="AJ84">
            <v>0</v>
          </cell>
          <cell r="AK84">
            <v>0</v>
          </cell>
        </row>
        <row r="87">
          <cell r="AI87">
            <v>80196.350000000006</v>
          </cell>
          <cell r="AJ87">
            <v>0</v>
          </cell>
          <cell r="AK87">
            <v>0</v>
          </cell>
        </row>
        <row r="95">
          <cell r="AI95">
            <v>0</v>
          </cell>
          <cell r="AJ95">
            <v>0</v>
          </cell>
          <cell r="AK95">
            <v>0</v>
          </cell>
        </row>
        <row r="97">
          <cell r="AI97">
            <v>5961.4100000000008</v>
          </cell>
          <cell r="AJ97">
            <v>0</v>
          </cell>
          <cell r="AK97">
            <v>0</v>
          </cell>
        </row>
        <row r="115">
          <cell r="AI115">
            <v>0</v>
          </cell>
          <cell r="AJ115">
            <v>115000</v>
          </cell>
          <cell r="AK115">
            <v>0</v>
          </cell>
        </row>
        <row r="122">
          <cell r="AI122">
            <v>94492.67</v>
          </cell>
          <cell r="AJ122">
            <v>0</v>
          </cell>
          <cell r="AK122">
            <v>0</v>
          </cell>
        </row>
        <row r="125">
          <cell r="AI125">
            <v>143352.88</v>
          </cell>
          <cell r="AJ125">
            <v>0</v>
          </cell>
          <cell r="AK125">
            <v>0</v>
          </cell>
        </row>
        <row r="128">
          <cell r="AI128">
            <v>0</v>
          </cell>
          <cell r="AJ128">
            <v>0</v>
          </cell>
          <cell r="AK128">
            <v>0</v>
          </cell>
        </row>
        <row r="132">
          <cell r="AI132">
            <v>4349</v>
          </cell>
          <cell r="AJ132">
            <v>0</v>
          </cell>
          <cell r="AK132">
            <v>0</v>
          </cell>
        </row>
        <row r="134">
          <cell r="AI134">
            <v>3000</v>
          </cell>
          <cell r="AJ134">
            <v>0</v>
          </cell>
          <cell r="AK134">
            <v>0</v>
          </cell>
        </row>
      </sheetData>
      <sheetData sheetId="5">
        <row r="5">
          <cell r="AI5">
            <v>5065.4799999999996</v>
          </cell>
          <cell r="AJ5">
            <v>0</v>
          </cell>
          <cell r="AK5">
            <v>0</v>
          </cell>
        </row>
        <row r="10">
          <cell r="AI10">
            <v>1658456.15</v>
          </cell>
          <cell r="AJ10">
            <v>0</v>
          </cell>
          <cell r="AK10">
            <v>0</v>
          </cell>
        </row>
        <row r="26">
          <cell r="AI26">
            <v>0</v>
          </cell>
          <cell r="AJ26">
            <v>0</v>
          </cell>
          <cell r="AK26">
            <v>0</v>
          </cell>
        </row>
        <row r="29">
          <cell r="AI29">
            <v>0</v>
          </cell>
          <cell r="AJ29">
            <v>0</v>
          </cell>
          <cell r="AK29">
            <v>0</v>
          </cell>
        </row>
        <row r="31">
          <cell r="AI31">
            <v>200264.49</v>
          </cell>
          <cell r="AJ31">
            <v>0</v>
          </cell>
          <cell r="AK31">
            <v>0</v>
          </cell>
        </row>
      </sheetData>
      <sheetData sheetId="6">
        <row r="5">
          <cell r="AI5">
            <v>0</v>
          </cell>
          <cell r="AJ5">
            <v>0</v>
          </cell>
          <cell r="AK5">
            <v>0</v>
          </cell>
        </row>
        <row r="7">
          <cell r="AI7">
            <v>0</v>
          </cell>
          <cell r="AJ7">
            <v>226899.96</v>
          </cell>
          <cell r="AK7">
            <v>0</v>
          </cell>
        </row>
        <row r="15">
          <cell r="AI15">
            <v>81043.48</v>
          </cell>
          <cell r="AJ15">
            <v>0</v>
          </cell>
          <cell r="AK15">
            <v>0</v>
          </cell>
        </row>
        <row r="17">
          <cell r="AI17">
            <v>252062.96</v>
          </cell>
          <cell r="AJ17">
            <v>0</v>
          </cell>
          <cell r="AK17">
            <v>0</v>
          </cell>
        </row>
        <row r="19">
          <cell r="AI19">
            <v>78182.260000000009</v>
          </cell>
          <cell r="AJ19">
            <v>0</v>
          </cell>
          <cell r="AK19">
            <v>0</v>
          </cell>
        </row>
        <row r="26">
          <cell r="AI26">
            <v>0</v>
          </cell>
          <cell r="AJ26">
            <v>0</v>
          </cell>
          <cell r="AK26">
            <v>0</v>
          </cell>
        </row>
        <row r="28">
          <cell r="AI28">
            <v>6693.33</v>
          </cell>
          <cell r="AJ28">
            <v>0</v>
          </cell>
          <cell r="AK28">
            <v>0</v>
          </cell>
        </row>
        <row r="31">
          <cell r="AI31">
            <v>0</v>
          </cell>
          <cell r="AJ31">
            <v>0</v>
          </cell>
          <cell r="AK31">
            <v>0</v>
          </cell>
        </row>
        <row r="33">
          <cell r="AI33">
            <v>20959.400000000001</v>
          </cell>
          <cell r="AJ33">
            <v>1666699.68</v>
          </cell>
          <cell r="AK33">
            <v>0</v>
          </cell>
        </row>
        <row r="36">
          <cell r="AI36">
            <v>15612.7</v>
          </cell>
          <cell r="AJ36">
            <v>11999.88</v>
          </cell>
          <cell r="AK36">
            <v>0</v>
          </cell>
        </row>
        <row r="39">
          <cell r="AI39">
            <v>0</v>
          </cell>
          <cell r="AJ39">
            <v>0</v>
          </cell>
          <cell r="AK39">
            <v>0</v>
          </cell>
        </row>
      </sheetData>
      <sheetData sheetId="7">
        <row r="4">
          <cell r="AI4">
            <v>188464</v>
          </cell>
          <cell r="AJ4">
            <v>0</v>
          </cell>
          <cell r="AK4">
            <v>0</v>
          </cell>
        </row>
        <row r="7">
          <cell r="AI7">
            <v>0</v>
          </cell>
          <cell r="AJ7">
            <v>0</v>
          </cell>
          <cell r="AK7">
            <v>0</v>
          </cell>
        </row>
      </sheetData>
      <sheetData sheetId="8">
        <row r="4">
          <cell r="AI4">
            <v>5545.7800000000007</v>
          </cell>
          <cell r="AJ4">
            <v>0</v>
          </cell>
          <cell r="AK4">
            <v>0</v>
          </cell>
        </row>
        <row r="20">
          <cell r="AI20">
            <v>307255</v>
          </cell>
          <cell r="AJ20">
            <v>2153.9</v>
          </cell>
          <cell r="AK20">
            <v>0</v>
          </cell>
        </row>
        <row r="23">
          <cell r="AI23">
            <v>478707</v>
          </cell>
          <cell r="AJ23">
            <v>0</v>
          </cell>
          <cell r="AK23">
            <v>0</v>
          </cell>
        </row>
        <row r="26">
          <cell r="AI26">
            <v>737545.6</v>
          </cell>
          <cell r="AJ26">
            <v>0</v>
          </cell>
          <cell r="AK26">
            <v>0</v>
          </cell>
        </row>
        <row r="29">
          <cell r="AI29"/>
          <cell r="AJ29"/>
          <cell r="AK29"/>
        </row>
        <row r="30">
          <cell r="AI30">
            <v>373116.08</v>
          </cell>
          <cell r="AJ30">
            <v>2819.61</v>
          </cell>
          <cell r="AK30">
            <v>0</v>
          </cell>
        </row>
        <row r="33">
          <cell r="AI33">
            <v>409123.08</v>
          </cell>
          <cell r="AJ33">
            <v>0</v>
          </cell>
          <cell r="AK33">
            <v>0</v>
          </cell>
        </row>
        <row r="36">
          <cell r="AI36">
            <v>406697</v>
          </cell>
          <cell r="AJ36">
            <v>4026.77</v>
          </cell>
          <cell r="AK36">
            <v>0</v>
          </cell>
        </row>
        <row r="39">
          <cell r="AI39"/>
          <cell r="AJ39"/>
          <cell r="AK39"/>
        </row>
        <row r="41">
          <cell r="AI41">
            <v>762291.56</v>
          </cell>
          <cell r="AJ41">
            <v>677871.44</v>
          </cell>
          <cell r="AK41">
            <v>0</v>
          </cell>
        </row>
        <row r="45">
          <cell r="AI45">
            <v>1185524</v>
          </cell>
          <cell r="AJ45">
            <v>0</v>
          </cell>
          <cell r="AK45">
            <v>0</v>
          </cell>
        </row>
        <row r="49">
          <cell r="AI49">
            <v>2007966.25</v>
          </cell>
          <cell r="AJ49">
            <v>262710.49</v>
          </cell>
          <cell r="AK49">
            <v>0</v>
          </cell>
        </row>
        <row r="54">
          <cell r="AI54">
            <v>1734782</v>
          </cell>
          <cell r="AJ54">
            <v>0</v>
          </cell>
          <cell r="AK54">
            <v>0</v>
          </cell>
        </row>
        <row r="57">
          <cell r="AI57">
            <v>1410904</v>
          </cell>
          <cell r="AJ57">
            <v>0</v>
          </cell>
          <cell r="AK57">
            <v>0</v>
          </cell>
        </row>
        <row r="60">
          <cell r="AI60">
            <v>779721.74</v>
          </cell>
          <cell r="AJ60">
            <v>0</v>
          </cell>
          <cell r="AK60">
            <v>0</v>
          </cell>
        </row>
        <row r="65">
          <cell r="AI65">
            <v>774983.23</v>
          </cell>
          <cell r="AJ65"/>
          <cell r="AK65"/>
        </row>
        <row r="66">
          <cell r="AI66">
            <v>279213.32</v>
          </cell>
          <cell r="AJ66"/>
          <cell r="AK66"/>
        </row>
        <row r="67">
          <cell r="AI67">
            <v>1250601.54</v>
          </cell>
          <cell r="AJ67">
            <v>0</v>
          </cell>
          <cell r="AK67">
            <v>0</v>
          </cell>
        </row>
        <row r="91">
          <cell r="AI91">
            <v>830853.42</v>
          </cell>
          <cell r="AJ91">
            <v>20140.639999999996</v>
          </cell>
          <cell r="AK91"/>
        </row>
        <row r="92">
          <cell r="AI92">
            <v>78743</v>
          </cell>
          <cell r="AJ92">
            <v>0</v>
          </cell>
          <cell r="AK92">
            <v>0</v>
          </cell>
        </row>
        <row r="99">
          <cell r="AI99">
            <v>1050140.8799999999</v>
          </cell>
          <cell r="AJ99"/>
          <cell r="AK99"/>
        </row>
      </sheetData>
      <sheetData sheetId="9">
        <row r="4">
          <cell r="AI4">
            <v>3530.69</v>
          </cell>
          <cell r="AJ4">
            <v>0</v>
          </cell>
          <cell r="AK4">
            <v>0</v>
          </cell>
        </row>
        <row r="12">
          <cell r="AI12">
            <v>63820.610000000008</v>
          </cell>
          <cell r="AJ12">
            <v>0</v>
          </cell>
          <cell r="AK12">
            <v>0</v>
          </cell>
        </row>
        <row r="32">
          <cell r="AI32">
            <v>67164.659999999989</v>
          </cell>
          <cell r="AJ32">
            <v>0</v>
          </cell>
          <cell r="AK32">
            <v>0</v>
          </cell>
        </row>
        <row r="54">
          <cell r="AI54">
            <v>28205.27</v>
          </cell>
          <cell r="AJ54">
            <v>0</v>
          </cell>
          <cell r="AK54">
            <v>0</v>
          </cell>
        </row>
        <row r="66">
          <cell r="AI66">
            <v>209468.91999999998</v>
          </cell>
          <cell r="AJ66">
            <v>0</v>
          </cell>
          <cell r="AK66">
            <v>0</v>
          </cell>
        </row>
        <row r="89">
          <cell r="AI89">
            <v>10013.09</v>
          </cell>
          <cell r="AJ89">
            <v>0</v>
          </cell>
          <cell r="AK89">
            <v>0</v>
          </cell>
        </row>
        <row r="97">
          <cell r="AI97">
            <v>570.21</v>
          </cell>
          <cell r="AJ97">
            <v>0</v>
          </cell>
          <cell r="AK97">
            <v>0</v>
          </cell>
        </row>
        <row r="103">
          <cell r="AI103">
            <v>17094.16</v>
          </cell>
          <cell r="AJ103">
            <v>0</v>
          </cell>
          <cell r="AK103">
            <v>0</v>
          </cell>
        </row>
        <row r="111">
          <cell r="AI111">
            <v>5000</v>
          </cell>
          <cell r="AJ111">
            <v>0</v>
          </cell>
          <cell r="AK111">
            <v>0</v>
          </cell>
        </row>
      </sheetData>
      <sheetData sheetId="10">
        <row r="4">
          <cell r="AI4">
            <v>14812.970000000001</v>
          </cell>
          <cell r="AJ4">
            <v>0</v>
          </cell>
          <cell r="AK4">
            <v>0</v>
          </cell>
        </row>
        <row r="20">
          <cell r="AI20">
            <v>197817.13</v>
          </cell>
          <cell r="AJ20">
            <v>0</v>
          </cell>
          <cell r="AK20">
            <v>0</v>
          </cell>
        </row>
        <row r="27">
          <cell r="AI27">
            <v>2114.19</v>
          </cell>
          <cell r="AJ27">
            <v>0</v>
          </cell>
          <cell r="AK27">
            <v>0</v>
          </cell>
        </row>
        <row r="37">
          <cell r="AI37">
            <v>712766.57999999984</v>
          </cell>
          <cell r="AJ37">
            <v>297000</v>
          </cell>
          <cell r="AK37">
            <v>0</v>
          </cell>
        </row>
        <row r="126">
          <cell r="AI126">
            <v>12235.710000000001</v>
          </cell>
          <cell r="AJ126">
            <v>0</v>
          </cell>
          <cell r="AK126">
            <v>0</v>
          </cell>
        </row>
        <row r="141">
          <cell r="AI141">
            <v>0</v>
          </cell>
          <cell r="AJ141">
            <v>0</v>
          </cell>
          <cell r="AK141">
            <v>0</v>
          </cell>
        </row>
        <row r="144">
          <cell r="AI144">
            <v>5000</v>
          </cell>
          <cell r="AJ144">
            <v>0</v>
          </cell>
          <cell r="AK144">
            <v>0</v>
          </cell>
        </row>
      </sheetData>
      <sheetData sheetId="11">
        <row r="5">
          <cell r="AI5">
            <v>396694.24</v>
          </cell>
          <cell r="AJ5">
            <v>0</v>
          </cell>
          <cell r="AK5">
            <v>0</v>
          </cell>
        </row>
        <row r="24">
          <cell r="AI24">
            <v>5300</v>
          </cell>
          <cell r="AJ24">
            <v>0</v>
          </cell>
          <cell r="AK24">
            <v>0</v>
          </cell>
        </row>
        <row r="26">
          <cell r="AI26">
            <v>7904.4</v>
          </cell>
          <cell r="AJ26">
            <v>0</v>
          </cell>
          <cell r="AK26">
            <v>0</v>
          </cell>
        </row>
        <row r="44">
          <cell r="AI44">
            <v>2261.85</v>
          </cell>
          <cell r="AJ44">
            <v>0</v>
          </cell>
          <cell r="AK44">
            <v>0</v>
          </cell>
        </row>
        <row r="48">
          <cell r="AI48">
            <v>0</v>
          </cell>
          <cell r="AJ48">
            <v>0</v>
          </cell>
          <cell r="AK48">
            <v>0</v>
          </cell>
        </row>
        <row r="51">
          <cell r="AI51">
            <v>16268.51</v>
          </cell>
          <cell r="AJ51">
            <v>0</v>
          </cell>
          <cell r="AK51">
            <v>0</v>
          </cell>
        </row>
        <row r="72">
          <cell r="AI72">
            <v>2803.92</v>
          </cell>
          <cell r="AJ72">
            <v>0</v>
          </cell>
          <cell r="AK72">
            <v>0</v>
          </cell>
        </row>
        <row r="74">
          <cell r="AI74">
            <v>40473.78</v>
          </cell>
          <cell r="AJ74">
            <v>0</v>
          </cell>
          <cell r="AK74">
            <v>0</v>
          </cell>
        </row>
        <row r="78">
          <cell r="AI78">
            <v>35540.35</v>
          </cell>
          <cell r="AJ78">
            <v>17600</v>
          </cell>
          <cell r="AK78">
            <v>0</v>
          </cell>
        </row>
        <row r="106">
          <cell r="AI106">
            <v>0</v>
          </cell>
          <cell r="AJ106">
            <v>0</v>
          </cell>
          <cell r="AK106">
            <v>0</v>
          </cell>
        </row>
      </sheetData>
      <sheetData sheetId="12">
        <row r="5">
          <cell r="AI5">
            <v>43300</v>
          </cell>
          <cell r="AJ5">
            <v>0</v>
          </cell>
          <cell r="AK5">
            <v>0</v>
          </cell>
        </row>
        <row r="8">
          <cell r="AI8"/>
          <cell r="AJ8"/>
          <cell r="AK8"/>
        </row>
        <row r="9">
          <cell r="AI9">
            <v>5150</v>
          </cell>
          <cell r="AJ9">
            <v>0</v>
          </cell>
          <cell r="AK9">
            <v>0</v>
          </cell>
        </row>
        <row r="17">
          <cell r="AI17">
            <v>63220</v>
          </cell>
          <cell r="AJ17">
            <v>0</v>
          </cell>
          <cell r="AK17">
            <v>0</v>
          </cell>
        </row>
        <row r="21">
          <cell r="AI21">
            <v>40220</v>
          </cell>
          <cell r="AJ21">
            <v>0</v>
          </cell>
          <cell r="AK21">
            <v>0</v>
          </cell>
        </row>
        <row r="24">
          <cell r="AI24">
            <v>0</v>
          </cell>
          <cell r="AJ24">
            <v>0</v>
          </cell>
          <cell r="AK24">
            <v>0</v>
          </cell>
        </row>
        <row r="26">
          <cell r="AI26">
            <v>111730</v>
          </cell>
          <cell r="AJ26">
            <v>0</v>
          </cell>
          <cell r="AK26">
            <v>0</v>
          </cell>
        </row>
        <row r="30">
          <cell r="AI30">
            <v>58820</v>
          </cell>
          <cell r="AJ30">
            <v>0</v>
          </cell>
          <cell r="AK30">
            <v>0</v>
          </cell>
        </row>
        <row r="33">
          <cell r="AI33">
            <v>0</v>
          </cell>
          <cell r="AJ33">
            <v>0</v>
          </cell>
          <cell r="AK33">
            <v>0</v>
          </cell>
        </row>
        <row r="35">
          <cell r="AI35">
            <v>1568441.01</v>
          </cell>
          <cell r="AJ35">
            <v>0</v>
          </cell>
          <cell r="AK35">
            <v>0</v>
          </cell>
        </row>
        <row r="50">
          <cell r="AI50">
            <v>229855.49</v>
          </cell>
          <cell r="AJ50">
            <v>0</v>
          </cell>
          <cell r="AK50">
            <v>0</v>
          </cell>
        </row>
        <row r="55">
          <cell r="AI55">
            <v>45000</v>
          </cell>
          <cell r="AJ55">
            <v>0</v>
          </cell>
          <cell r="AK55">
            <v>0</v>
          </cell>
        </row>
        <row r="59">
          <cell r="AI59">
            <v>5400</v>
          </cell>
          <cell r="AJ59">
            <v>0</v>
          </cell>
          <cell r="AK59">
            <v>0</v>
          </cell>
        </row>
        <row r="62">
          <cell r="AI62">
            <v>76500</v>
          </cell>
          <cell r="AJ62">
            <v>0</v>
          </cell>
          <cell r="AK62">
            <v>0</v>
          </cell>
        </row>
        <row r="65">
          <cell r="AI65">
            <v>8120</v>
          </cell>
          <cell r="AJ65">
            <v>0</v>
          </cell>
          <cell r="AK65">
            <v>0</v>
          </cell>
        </row>
        <row r="67">
          <cell r="AI67">
            <v>73.95</v>
          </cell>
          <cell r="AJ67">
            <v>0</v>
          </cell>
          <cell r="AK67">
            <v>0</v>
          </cell>
        </row>
        <row r="79">
          <cell r="AI79">
            <v>45253.62</v>
          </cell>
          <cell r="AJ79">
            <v>0</v>
          </cell>
          <cell r="AK79">
            <v>0</v>
          </cell>
        </row>
        <row r="104">
          <cell r="AI104">
            <v>20795.689999999999</v>
          </cell>
          <cell r="AJ104">
            <v>0</v>
          </cell>
          <cell r="AK104">
            <v>0</v>
          </cell>
        </row>
        <row r="106">
          <cell r="AI106">
            <v>314250.81999999995</v>
          </cell>
          <cell r="AJ106">
            <v>0</v>
          </cell>
          <cell r="AK106">
            <v>0</v>
          </cell>
        </row>
        <row r="112">
          <cell r="AI112">
            <v>112170</v>
          </cell>
          <cell r="AJ112">
            <v>0</v>
          </cell>
          <cell r="AK112">
            <v>0</v>
          </cell>
        </row>
      </sheetData>
      <sheetData sheetId="13">
        <row r="24">
          <cell r="AI24">
            <v>301969.36</v>
          </cell>
          <cell r="AJ24">
            <v>0</v>
          </cell>
          <cell r="AK24">
            <v>226405.02</v>
          </cell>
        </row>
      </sheetData>
      <sheetData sheetId="14">
        <row r="4">
          <cell r="AI4">
            <v>2603004.8899999992</v>
          </cell>
          <cell r="AJ4">
            <v>22853.4</v>
          </cell>
          <cell r="AK4">
            <v>0</v>
          </cell>
        </row>
        <row r="102">
          <cell r="AI102">
            <v>452502.95</v>
          </cell>
          <cell r="AJ102">
            <v>33950</v>
          </cell>
          <cell r="AK102"/>
        </row>
        <row r="103">
          <cell r="AI103">
            <v>160757.91</v>
          </cell>
          <cell r="AJ103">
            <v>0</v>
          </cell>
          <cell r="AK103">
            <v>560134</v>
          </cell>
        </row>
      </sheetData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Plánovanie, manažment a kontr"/>
      <sheetName val="2. Propagácia a marketing"/>
      <sheetName val="3.Interné služby"/>
      <sheetName val="4.Služby občanov"/>
      <sheetName val="5.Bezpečnosť, právo a por."/>
      <sheetName val="6.Odpadové hospodárstvo"/>
      <sheetName val="7.Komunikácie"/>
      <sheetName val="8.Doprava"/>
      <sheetName val="9. Vzdelávanie"/>
      <sheetName val="10. Šport"/>
      <sheetName val="11. Kultúra"/>
      <sheetName val="12. Prostredie pre život"/>
      <sheetName val="13. Sociálna starostlivosť"/>
      <sheetName val="14. Bývanie"/>
      <sheetName val="15. Administratíva"/>
      <sheetName val="programy spolu"/>
      <sheetName val="Hárok1"/>
    </sheetNames>
    <sheetDataSet>
      <sheetData sheetId="0">
        <row r="5">
          <cell r="AI5">
            <v>159300</v>
          </cell>
          <cell r="AJ5">
            <v>0</v>
          </cell>
          <cell r="AK5">
            <v>0</v>
          </cell>
        </row>
        <row r="17">
          <cell r="AI17">
            <v>53150</v>
          </cell>
          <cell r="AJ17">
            <v>0</v>
          </cell>
          <cell r="AK17">
            <v>0</v>
          </cell>
        </row>
        <row r="28">
          <cell r="AI28">
            <v>141970</v>
          </cell>
          <cell r="AJ28">
            <v>0</v>
          </cell>
          <cell r="AK28">
            <v>0</v>
          </cell>
        </row>
        <row r="33">
          <cell r="AI33">
            <v>0</v>
          </cell>
          <cell r="AJ33">
            <v>0</v>
          </cell>
          <cell r="AK33">
            <v>0</v>
          </cell>
        </row>
        <row r="41">
          <cell r="AI41">
            <v>32200</v>
          </cell>
          <cell r="AJ41">
            <v>0</v>
          </cell>
          <cell r="AK41">
            <v>0</v>
          </cell>
        </row>
        <row r="58">
          <cell r="AI58">
            <v>10000</v>
          </cell>
          <cell r="AJ58">
            <v>0</v>
          </cell>
          <cell r="AK58">
            <v>0</v>
          </cell>
        </row>
        <row r="62">
          <cell r="AI62">
            <v>10500</v>
          </cell>
          <cell r="AJ62">
            <v>50000</v>
          </cell>
          <cell r="AK62">
            <v>0</v>
          </cell>
        </row>
        <row r="79">
          <cell r="AI79">
            <v>105800</v>
          </cell>
          <cell r="AJ79">
            <v>0</v>
          </cell>
          <cell r="AK79">
            <v>0</v>
          </cell>
        </row>
        <row r="88">
          <cell r="AI88">
            <v>9000</v>
          </cell>
          <cell r="AJ88">
            <v>0</v>
          </cell>
          <cell r="AK88">
            <v>0</v>
          </cell>
        </row>
        <row r="92">
          <cell r="AI92">
            <v>18350</v>
          </cell>
          <cell r="AJ92">
            <v>0</v>
          </cell>
          <cell r="AK92">
            <v>0</v>
          </cell>
        </row>
        <row r="95">
          <cell r="AI95">
            <v>0</v>
          </cell>
          <cell r="AJ95">
            <v>0</v>
          </cell>
          <cell r="AK95">
            <v>0</v>
          </cell>
        </row>
      </sheetData>
      <sheetData sheetId="1">
        <row r="5">
          <cell r="AI5">
            <v>820</v>
          </cell>
          <cell r="AJ5">
            <v>0</v>
          </cell>
          <cell r="AK5">
            <v>0</v>
          </cell>
        </row>
        <row r="7">
          <cell r="AI7">
            <v>4000</v>
          </cell>
          <cell r="AJ7">
            <v>0</v>
          </cell>
          <cell r="AK7">
            <v>0</v>
          </cell>
        </row>
        <row r="12">
          <cell r="AI12">
            <v>5050</v>
          </cell>
          <cell r="AJ12">
            <v>0</v>
          </cell>
          <cell r="AK12">
            <v>0</v>
          </cell>
        </row>
        <row r="20">
          <cell r="AI20">
            <v>0</v>
          </cell>
          <cell r="AJ20">
            <v>0</v>
          </cell>
          <cell r="AK20">
            <v>0</v>
          </cell>
        </row>
        <row r="22">
          <cell r="AI22">
            <v>0</v>
          </cell>
          <cell r="AJ22">
            <v>0</v>
          </cell>
          <cell r="AK22">
            <v>0</v>
          </cell>
        </row>
        <row r="25">
          <cell r="AI25">
            <v>0</v>
          </cell>
          <cell r="AJ25">
            <v>0</v>
          </cell>
          <cell r="AK25">
            <v>0</v>
          </cell>
        </row>
        <row r="27">
          <cell r="AI27">
            <v>2000</v>
          </cell>
          <cell r="AJ27">
            <v>0</v>
          </cell>
          <cell r="AK27">
            <v>0</v>
          </cell>
        </row>
        <row r="29">
          <cell r="AI29">
            <v>4000</v>
          </cell>
          <cell r="AJ29">
            <v>0</v>
          </cell>
          <cell r="AK29">
            <v>0</v>
          </cell>
        </row>
        <row r="32">
          <cell r="AI32">
            <v>10500</v>
          </cell>
          <cell r="AJ32">
            <v>0</v>
          </cell>
          <cell r="AK32">
            <v>0</v>
          </cell>
        </row>
        <row r="46">
          <cell r="AI46">
            <v>1500</v>
          </cell>
          <cell r="AJ46">
            <v>0</v>
          </cell>
          <cell r="AK46">
            <v>0</v>
          </cell>
        </row>
        <row r="51">
          <cell r="AI51">
            <v>11700</v>
          </cell>
          <cell r="AJ51">
            <v>0</v>
          </cell>
          <cell r="AK51">
            <v>0</v>
          </cell>
        </row>
      </sheetData>
      <sheetData sheetId="2">
        <row r="4">
          <cell r="AI4">
            <v>121650</v>
          </cell>
          <cell r="AJ4">
            <v>0</v>
          </cell>
          <cell r="AK4">
            <v>0</v>
          </cell>
        </row>
        <row r="23">
          <cell r="AI23">
            <v>1000</v>
          </cell>
          <cell r="AJ23">
            <v>0</v>
          </cell>
          <cell r="AK23">
            <v>0</v>
          </cell>
        </row>
        <row r="29">
          <cell r="AI29">
            <v>2300</v>
          </cell>
          <cell r="AJ29">
            <v>0</v>
          </cell>
          <cell r="AK29">
            <v>0</v>
          </cell>
        </row>
        <row r="34">
          <cell r="AI34">
            <v>15700</v>
          </cell>
          <cell r="AJ34">
            <v>0</v>
          </cell>
          <cell r="AK34">
            <v>0</v>
          </cell>
        </row>
        <row r="37">
          <cell r="AI37">
            <v>279570</v>
          </cell>
          <cell r="AJ37">
            <v>0</v>
          </cell>
          <cell r="AK37">
            <v>0</v>
          </cell>
        </row>
        <row r="95">
          <cell r="AI95">
            <v>1000</v>
          </cell>
          <cell r="AJ95">
            <v>0</v>
          </cell>
          <cell r="AK95">
            <v>0</v>
          </cell>
        </row>
        <row r="100">
          <cell r="AI100">
            <v>7000</v>
          </cell>
          <cell r="AJ100">
            <v>0</v>
          </cell>
          <cell r="AK100">
            <v>0</v>
          </cell>
        </row>
        <row r="106">
          <cell r="AI106">
            <v>0</v>
          </cell>
          <cell r="AJ106">
            <v>0</v>
          </cell>
          <cell r="AK106">
            <v>0</v>
          </cell>
        </row>
      </sheetData>
      <sheetData sheetId="3">
        <row r="4">
          <cell r="AI4">
            <v>28450</v>
          </cell>
          <cell r="AJ4">
            <v>0</v>
          </cell>
          <cell r="AK4">
            <v>0</v>
          </cell>
        </row>
        <row r="17">
          <cell r="AI17">
            <v>33900</v>
          </cell>
          <cell r="AJ17">
            <v>0</v>
          </cell>
          <cell r="AK17">
            <v>0</v>
          </cell>
        </row>
        <row r="29">
          <cell r="AI29">
            <v>2000</v>
          </cell>
          <cell r="AJ29">
            <v>0</v>
          </cell>
          <cell r="AK29">
            <v>0</v>
          </cell>
        </row>
        <row r="31">
          <cell r="AI31"/>
          <cell r="AJ31"/>
          <cell r="AK31"/>
        </row>
      </sheetData>
      <sheetData sheetId="4">
        <row r="5">
          <cell r="AI5">
            <v>817705</v>
          </cell>
          <cell r="AJ5">
            <v>2700</v>
          </cell>
          <cell r="AK5">
            <v>16000</v>
          </cell>
        </row>
        <row r="61">
          <cell r="AI61">
            <v>201900</v>
          </cell>
          <cell r="AJ61">
            <v>0</v>
          </cell>
          <cell r="AK61">
            <v>0</v>
          </cell>
        </row>
        <row r="84">
          <cell r="AI84">
            <v>84500</v>
          </cell>
          <cell r="AJ84">
            <v>0</v>
          </cell>
          <cell r="AK84">
            <v>0</v>
          </cell>
        </row>
        <row r="87">
          <cell r="AI87">
            <v>86200</v>
          </cell>
          <cell r="AJ87">
            <v>0</v>
          </cell>
          <cell r="AK87">
            <v>0</v>
          </cell>
        </row>
        <row r="95">
          <cell r="AI95">
            <v>0</v>
          </cell>
          <cell r="AJ95">
            <v>0</v>
          </cell>
          <cell r="AK95">
            <v>0</v>
          </cell>
        </row>
        <row r="97">
          <cell r="AI97">
            <v>7400</v>
          </cell>
          <cell r="AJ97">
            <v>0</v>
          </cell>
          <cell r="AK97">
            <v>0</v>
          </cell>
        </row>
        <row r="115">
          <cell r="AI115">
            <v>0</v>
          </cell>
          <cell r="AJ115">
            <v>115000</v>
          </cell>
          <cell r="AK115">
            <v>0</v>
          </cell>
        </row>
        <row r="122">
          <cell r="AI122">
            <v>100000</v>
          </cell>
          <cell r="AJ122">
            <v>0</v>
          </cell>
          <cell r="AK122">
            <v>0</v>
          </cell>
        </row>
        <row r="125">
          <cell r="AI125">
            <v>140000</v>
          </cell>
          <cell r="AJ125">
            <v>0</v>
          </cell>
          <cell r="AK125">
            <v>0</v>
          </cell>
        </row>
        <row r="128">
          <cell r="AI128">
            <v>0</v>
          </cell>
          <cell r="AJ128">
            <v>0</v>
          </cell>
          <cell r="AK128">
            <v>0</v>
          </cell>
        </row>
        <row r="132">
          <cell r="AI132">
            <v>6300</v>
          </cell>
          <cell r="AJ132">
            <v>0</v>
          </cell>
          <cell r="AK132">
            <v>0</v>
          </cell>
        </row>
        <row r="134">
          <cell r="AI134">
            <v>3000</v>
          </cell>
          <cell r="AJ134">
            <v>0</v>
          </cell>
          <cell r="AK134">
            <v>0</v>
          </cell>
        </row>
      </sheetData>
      <sheetData sheetId="5">
        <row r="5">
          <cell r="AI5">
            <v>8800</v>
          </cell>
          <cell r="AJ5">
            <v>0</v>
          </cell>
          <cell r="AK5">
            <v>0</v>
          </cell>
        </row>
        <row r="10">
          <cell r="AI10">
            <v>1657200</v>
          </cell>
          <cell r="AJ10">
            <v>0</v>
          </cell>
          <cell r="AK10">
            <v>0</v>
          </cell>
        </row>
        <row r="26">
          <cell r="AI26">
            <v>0</v>
          </cell>
          <cell r="AJ26">
            <v>0</v>
          </cell>
          <cell r="AK26">
            <v>0</v>
          </cell>
        </row>
        <row r="29">
          <cell r="AI29">
            <v>0</v>
          </cell>
          <cell r="AJ29">
            <v>0</v>
          </cell>
          <cell r="AK29">
            <v>0</v>
          </cell>
        </row>
        <row r="31">
          <cell r="AI31">
            <v>215500</v>
          </cell>
          <cell r="AJ31">
            <v>0</v>
          </cell>
          <cell r="AK31">
            <v>0</v>
          </cell>
        </row>
      </sheetData>
      <sheetData sheetId="6">
        <row r="5">
          <cell r="AI5">
            <v>0</v>
          </cell>
          <cell r="AJ5">
            <v>0</v>
          </cell>
          <cell r="AK5">
            <v>0</v>
          </cell>
        </row>
        <row r="7">
          <cell r="AI7">
            <v>0</v>
          </cell>
          <cell r="AJ7">
            <v>237000</v>
          </cell>
          <cell r="AK7">
            <v>0</v>
          </cell>
        </row>
        <row r="15">
          <cell r="AI15">
            <v>65000</v>
          </cell>
          <cell r="AJ15">
            <v>0</v>
          </cell>
          <cell r="AK15">
            <v>0</v>
          </cell>
        </row>
        <row r="17">
          <cell r="AI17">
            <v>200000</v>
          </cell>
          <cell r="AJ17">
            <v>0</v>
          </cell>
          <cell r="AK17">
            <v>0</v>
          </cell>
        </row>
        <row r="19">
          <cell r="AI19">
            <v>93100</v>
          </cell>
          <cell r="AJ19">
            <v>0</v>
          </cell>
          <cell r="AK19">
            <v>0</v>
          </cell>
        </row>
        <row r="26">
          <cell r="AI26">
            <v>30000</v>
          </cell>
          <cell r="AJ26">
            <v>0</v>
          </cell>
          <cell r="AK26">
            <v>0</v>
          </cell>
        </row>
        <row r="28">
          <cell r="AI28">
            <v>10000</v>
          </cell>
          <cell r="AJ28">
            <v>0</v>
          </cell>
          <cell r="AK28">
            <v>0</v>
          </cell>
        </row>
        <row r="31">
          <cell r="AI31">
            <v>0</v>
          </cell>
          <cell r="AJ31">
            <v>20000</v>
          </cell>
          <cell r="AK31">
            <v>0</v>
          </cell>
        </row>
        <row r="33">
          <cell r="AI33">
            <v>10000</v>
          </cell>
          <cell r="AJ33">
            <v>2400000</v>
          </cell>
          <cell r="AK33">
            <v>0</v>
          </cell>
        </row>
        <row r="36">
          <cell r="AI36">
            <v>19000</v>
          </cell>
          <cell r="AJ36">
            <v>0</v>
          </cell>
          <cell r="AK36">
            <v>0</v>
          </cell>
        </row>
        <row r="39">
          <cell r="AI39">
            <v>0</v>
          </cell>
          <cell r="AJ39">
            <v>0</v>
          </cell>
          <cell r="AK39">
            <v>0</v>
          </cell>
        </row>
      </sheetData>
      <sheetData sheetId="7">
        <row r="4">
          <cell r="AI4">
            <v>190000</v>
          </cell>
          <cell r="AJ4">
            <v>0</v>
          </cell>
          <cell r="AK4">
            <v>0</v>
          </cell>
        </row>
        <row r="7">
          <cell r="AI7">
            <v>5000</v>
          </cell>
          <cell r="AJ7">
            <v>0</v>
          </cell>
          <cell r="AK7">
            <v>0</v>
          </cell>
        </row>
      </sheetData>
      <sheetData sheetId="8">
        <row r="4">
          <cell r="AI4">
            <v>6000</v>
          </cell>
          <cell r="AJ4">
            <v>0</v>
          </cell>
          <cell r="AK4">
            <v>0</v>
          </cell>
        </row>
        <row r="20">
          <cell r="AI20">
            <v>347493</v>
          </cell>
          <cell r="AJ20">
            <v>0</v>
          </cell>
          <cell r="AK20">
            <v>0</v>
          </cell>
        </row>
        <row r="23">
          <cell r="AI23">
            <v>477787</v>
          </cell>
          <cell r="AJ23">
            <v>0</v>
          </cell>
          <cell r="AK23">
            <v>0</v>
          </cell>
        </row>
        <row r="26">
          <cell r="AI26">
            <v>805365</v>
          </cell>
          <cell r="AJ26">
            <v>0</v>
          </cell>
          <cell r="AK26">
            <v>0</v>
          </cell>
        </row>
        <row r="29">
          <cell r="AI29"/>
          <cell r="AJ29"/>
          <cell r="AK29"/>
        </row>
        <row r="30">
          <cell r="AI30">
            <v>401956</v>
          </cell>
          <cell r="AJ30">
            <v>0</v>
          </cell>
          <cell r="AK30">
            <v>0</v>
          </cell>
        </row>
        <row r="33">
          <cell r="AI33">
            <v>428649</v>
          </cell>
          <cell r="AJ33">
            <v>0</v>
          </cell>
          <cell r="AK33">
            <v>0</v>
          </cell>
        </row>
        <row r="36">
          <cell r="AI36">
            <v>442791</v>
          </cell>
          <cell r="AJ36">
            <v>0</v>
          </cell>
          <cell r="AK36">
            <v>0</v>
          </cell>
        </row>
        <row r="39">
          <cell r="AI39"/>
          <cell r="AJ39"/>
          <cell r="AK39"/>
        </row>
        <row r="41">
          <cell r="AI41">
            <v>809989</v>
          </cell>
          <cell r="AJ41">
            <v>0</v>
          </cell>
          <cell r="AK41">
            <v>0</v>
          </cell>
        </row>
        <row r="45">
          <cell r="AI45">
            <v>1278597</v>
          </cell>
          <cell r="AJ45">
            <v>0</v>
          </cell>
          <cell r="AK45">
            <v>0</v>
          </cell>
        </row>
        <row r="49">
          <cell r="AI49">
            <v>2129872</v>
          </cell>
          <cell r="AJ49">
            <v>133000</v>
          </cell>
          <cell r="AK49">
            <v>0</v>
          </cell>
        </row>
        <row r="54">
          <cell r="AI54">
            <v>1780213</v>
          </cell>
          <cell r="AJ54">
            <v>395000</v>
          </cell>
          <cell r="AK54">
            <v>0</v>
          </cell>
        </row>
        <row r="57">
          <cell r="AI57">
            <v>1475051</v>
          </cell>
          <cell r="AJ57">
            <v>0</v>
          </cell>
          <cell r="AK57">
            <v>0</v>
          </cell>
        </row>
        <row r="60">
          <cell r="AI60">
            <v>876283</v>
          </cell>
          <cell r="AJ60">
            <v>0</v>
          </cell>
          <cell r="AK60">
            <v>0</v>
          </cell>
        </row>
        <row r="65">
          <cell r="AI65">
            <v>820500</v>
          </cell>
          <cell r="AJ65"/>
          <cell r="AK65"/>
        </row>
        <row r="66">
          <cell r="AI66">
            <v>270400</v>
          </cell>
          <cell r="AJ66"/>
          <cell r="AK66"/>
        </row>
        <row r="67">
          <cell r="AI67">
            <v>1459042</v>
          </cell>
          <cell r="AJ67">
            <v>0</v>
          </cell>
          <cell r="AK67">
            <v>0</v>
          </cell>
        </row>
        <row r="91">
          <cell r="AI91">
            <v>895930</v>
          </cell>
          <cell r="AJ91"/>
          <cell r="AK91"/>
        </row>
        <row r="92">
          <cell r="AI92">
            <v>539371</v>
          </cell>
          <cell r="AJ92">
            <v>440000</v>
          </cell>
          <cell r="AK92">
            <v>0</v>
          </cell>
        </row>
        <row r="99">
          <cell r="AI99">
            <v>1298556</v>
          </cell>
          <cell r="AJ99"/>
          <cell r="AK99"/>
        </row>
      </sheetData>
      <sheetData sheetId="9">
        <row r="4">
          <cell r="AI4">
            <v>5000</v>
          </cell>
          <cell r="AJ4">
            <v>0</v>
          </cell>
          <cell r="AK4">
            <v>0</v>
          </cell>
        </row>
        <row r="12">
          <cell r="AI12">
            <v>68200</v>
          </cell>
          <cell r="AJ12">
            <v>0</v>
          </cell>
          <cell r="AK12">
            <v>0</v>
          </cell>
        </row>
        <row r="32">
          <cell r="AI32">
            <v>85700</v>
          </cell>
          <cell r="AJ32">
            <v>0</v>
          </cell>
          <cell r="AK32">
            <v>0</v>
          </cell>
        </row>
        <row r="54">
          <cell r="AI54">
            <v>23500</v>
          </cell>
          <cell r="AJ54">
            <v>0</v>
          </cell>
          <cell r="AK54">
            <v>0</v>
          </cell>
        </row>
        <row r="66">
          <cell r="AI66">
            <v>263300</v>
          </cell>
          <cell r="AJ66">
            <v>0</v>
          </cell>
          <cell r="AK66">
            <v>0</v>
          </cell>
        </row>
        <row r="89">
          <cell r="AI89">
            <v>11900</v>
          </cell>
          <cell r="AJ89">
            <v>0</v>
          </cell>
          <cell r="AK89">
            <v>0</v>
          </cell>
        </row>
        <row r="97">
          <cell r="AI97">
            <v>1000</v>
          </cell>
          <cell r="AJ97">
            <v>550000</v>
          </cell>
          <cell r="AK97">
            <v>0</v>
          </cell>
        </row>
        <row r="103">
          <cell r="AI103">
            <v>5000</v>
          </cell>
          <cell r="AJ103">
            <v>0</v>
          </cell>
          <cell r="AK103">
            <v>0</v>
          </cell>
        </row>
        <row r="111">
          <cell r="AI111">
            <v>5000</v>
          </cell>
          <cell r="AJ111">
            <v>0</v>
          </cell>
          <cell r="AK111">
            <v>0</v>
          </cell>
        </row>
      </sheetData>
      <sheetData sheetId="10">
        <row r="4">
          <cell r="AI4">
            <v>20000</v>
          </cell>
          <cell r="AJ4">
            <v>0</v>
          </cell>
          <cell r="AK4">
            <v>0</v>
          </cell>
        </row>
        <row r="20">
          <cell r="AI20">
            <v>205500</v>
          </cell>
          <cell r="AJ20">
            <v>0</v>
          </cell>
          <cell r="AK20">
            <v>0</v>
          </cell>
        </row>
        <row r="27">
          <cell r="AI27">
            <v>8700</v>
          </cell>
          <cell r="AJ27">
            <v>18150</v>
          </cell>
          <cell r="AK27">
            <v>0</v>
          </cell>
        </row>
        <row r="37">
          <cell r="AI37">
            <v>800740</v>
          </cell>
          <cell r="AJ37">
            <v>277180</v>
          </cell>
          <cell r="AK37">
            <v>0</v>
          </cell>
        </row>
        <row r="126">
          <cell r="AI126">
            <v>15300</v>
          </cell>
          <cell r="AJ126">
            <v>0</v>
          </cell>
          <cell r="AK126">
            <v>0</v>
          </cell>
        </row>
        <row r="141">
          <cell r="AI141">
            <v>500</v>
          </cell>
          <cell r="AJ141">
            <v>400000</v>
          </cell>
          <cell r="AK141">
            <v>0</v>
          </cell>
        </row>
        <row r="144">
          <cell r="AI144">
            <v>5000</v>
          </cell>
          <cell r="AJ144">
            <v>0</v>
          </cell>
          <cell r="AK144">
            <v>0</v>
          </cell>
        </row>
      </sheetData>
      <sheetData sheetId="11">
        <row r="5">
          <cell r="AI5">
            <v>436000</v>
          </cell>
          <cell r="AJ5">
            <v>0</v>
          </cell>
          <cell r="AK5">
            <v>0</v>
          </cell>
        </row>
        <row r="24">
          <cell r="AI24">
            <v>6500</v>
          </cell>
          <cell r="AJ24">
            <v>0</v>
          </cell>
          <cell r="AK24">
            <v>0</v>
          </cell>
        </row>
        <row r="26">
          <cell r="AI26">
            <v>500</v>
          </cell>
          <cell r="AJ26">
            <v>0</v>
          </cell>
          <cell r="AK26">
            <v>0</v>
          </cell>
        </row>
        <row r="44">
          <cell r="AI44">
            <v>800</v>
          </cell>
          <cell r="AJ44">
            <v>0</v>
          </cell>
          <cell r="AK44">
            <v>0</v>
          </cell>
        </row>
        <row r="48">
          <cell r="AI48">
            <v>5000</v>
          </cell>
          <cell r="AJ48">
            <v>0</v>
          </cell>
          <cell r="AK48">
            <v>0</v>
          </cell>
        </row>
        <row r="51">
          <cell r="AI51">
            <v>242800</v>
          </cell>
          <cell r="AJ51">
            <v>530000</v>
          </cell>
          <cell r="AK51">
            <v>0</v>
          </cell>
        </row>
        <row r="72">
          <cell r="AI72">
            <v>5000</v>
          </cell>
          <cell r="AJ72">
            <v>0</v>
          </cell>
          <cell r="AK72">
            <v>0</v>
          </cell>
        </row>
        <row r="74">
          <cell r="AI74">
            <v>42500</v>
          </cell>
          <cell r="AJ74">
            <v>0</v>
          </cell>
          <cell r="AK74">
            <v>0</v>
          </cell>
        </row>
        <row r="78">
          <cell r="AI78">
            <v>42100</v>
          </cell>
          <cell r="AJ78">
            <v>22730</v>
          </cell>
          <cell r="AK78">
            <v>0</v>
          </cell>
        </row>
        <row r="106">
          <cell r="AI106">
            <v>0</v>
          </cell>
          <cell r="AJ106">
            <v>0</v>
          </cell>
          <cell r="AK106">
            <v>0</v>
          </cell>
        </row>
      </sheetData>
      <sheetData sheetId="12">
        <row r="5">
          <cell r="AI5">
            <v>7050</v>
          </cell>
          <cell r="AJ5">
            <v>0</v>
          </cell>
          <cell r="AK5">
            <v>0</v>
          </cell>
        </row>
        <row r="8">
          <cell r="AI8"/>
          <cell r="AJ8"/>
          <cell r="AK8"/>
        </row>
        <row r="9">
          <cell r="AI9">
            <v>11500</v>
          </cell>
          <cell r="AJ9">
            <v>0</v>
          </cell>
          <cell r="AK9">
            <v>0</v>
          </cell>
        </row>
        <row r="17">
          <cell r="AI17">
            <v>90000</v>
          </cell>
          <cell r="AJ17">
            <v>0</v>
          </cell>
          <cell r="AK17">
            <v>0</v>
          </cell>
        </row>
        <row r="21">
          <cell r="AI21">
            <v>10000</v>
          </cell>
          <cell r="AJ21">
            <v>0</v>
          </cell>
          <cell r="AK21">
            <v>0</v>
          </cell>
        </row>
        <row r="24">
          <cell r="AI24">
            <v>0</v>
          </cell>
          <cell r="AJ24">
            <v>0</v>
          </cell>
          <cell r="AK24">
            <v>0</v>
          </cell>
        </row>
        <row r="26">
          <cell r="AI26">
            <v>122900</v>
          </cell>
          <cell r="AJ26">
            <v>0</v>
          </cell>
          <cell r="AK26">
            <v>0</v>
          </cell>
        </row>
        <row r="29">
          <cell r="AI29">
            <v>30000</v>
          </cell>
          <cell r="AJ29">
            <v>1590000</v>
          </cell>
          <cell r="AK29">
            <v>0</v>
          </cell>
        </row>
        <row r="32">
          <cell r="AI32">
            <v>64100</v>
          </cell>
          <cell r="AJ32">
            <v>0</v>
          </cell>
          <cell r="AK32">
            <v>0</v>
          </cell>
        </row>
        <row r="35">
          <cell r="AI35">
            <v>0</v>
          </cell>
          <cell r="AJ35">
            <v>0</v>
          </cell>
          <cell r="AK35">
            <v>0</v>
          </cell>
        </row>
        <row r="37">
          <cell r="AI37">
            <v>1715000</v>
          </cell>
          <cell r="AJ37">
            <v>10000</v>
          </cell>
          <cell r="AK37">
            <v>0</v>
          </cell>
        </row>
        <row r="52">
          <cell r="AI52">
            <v>306150</v>
          </cell>
          <cell r="AJ52">
            <v>0</v>
          </cell>
          <cell r="AK52">
            <v>0</v>
          </cell>
        </row>
        <row r="57">
          <cell r="AI57">
            <v>49500</v>
          </cell>
          <cell r="AJ57">
            <v>0</v>
          </cell>
          <cell r="AK57">
            <v>0</v>
          </cell>
        </row>
        <row r="61">
          <cell r="AI61">
            <v>6550</v>
          </cell>
          <cell r="AJ61">
            <v>0</v>
          </cell>
          <cell r="AK61">
            <v>0</v>
          </cell>
        </row>
        <row r="64">
          <cell r="AI64">
            <v>84150</v>
          </cell>
          <cell r="AJ64">
            <v>0</v>
          </cell>
          <cell r="AK64">
            <v>0</v>
          </cell>
        </row>
        <row r="67">
          <cell r="AI67">
            <v>8950</v>
          </cell>
          <cell r="AJ67">
            <v>0</v>
          </cell>
          <cell r="AK67">
            <v>0</v>
          </cell>
        </row>
        <row r="69">
          <cell r="AI69">
            <v>1000</v>
          </cell>
          <cell r="AJ69">
            <v>0</v>
          </cell>
          <cell r="AK69">
            <v>0</v>
          </cell>
        </row>
        <row r="81">
          <cell r="AI81">
            <v>51630</v>
          </cell>
          <cell r="AJ81">
            <v>0</v>
          </cell>
          <cell r="AK81">
            <v>0</v>
          </cell>
        </row>
        <row r="106">
          <cell r="AI106">
            <v>20000</v>
          </cell>
          <cell r="AJ106">
            <v>0</v>
          </cell>
          <cell r="AK106">
            <v>0</v>
          </cell>
        </row>
        <row r="108">
          <cell r="AI108">
            <v>191500</v>
          </cell>
          <cell r="AJ108">
            <v>0</v>
          </cell>
          <cell r="AK108">
            <v>0</v>
          </cell>
        </row>
        <row r="114">
          <cell r="AI114">
            <v>110000</v>
          </cell>
          <cell r="AJ114">
            <v>0</v>
          </cell>
          <cell r="AK114">
            <v>0</v>
          </cell>
        </row>
      </sheetData>
      <sheetData sheetId="13">
        <row r="24">
          <cell r="AI24">
            <v>705250</v>
          </cell>
          <cell r="AJ24">
            <v>0</v>
          </cell>
          <cell r="AK24">
            <v>222350</v>
          </cell>
        </row>
      </sheetData>
      <sheetData sheetId="14">
        <row r="4">
          <cell r="AI4">
            <v>2780220</v>
          </cell>
          <cell r="AJ4">
            <v>308420</v>
          </cell>
          <cell r="AK4">
            <v>0</v>
          </cell>
        </row>
        <row r="102">
          <cell r="AI102">
            <v>200000</v>
          </cell>
          <cell r="AJ102"/>
          <cell r="AK102"/>
        </row>
        <row r="103">
          <cell r="AI103">
            <v>175000</v>
          </cell>
          <cell r="AJ103">
            <v>0</v>
          </cell>
          <cell r="AK103">
            <v>1075000</v>
          </cell>
        </row>
      </sheetData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Plánovanie, manažment a kontr"/>
      <sheetName val="2. Propagácia a marketing"/>
      <sheetName val="3.Interné služby"/>
      <sheetName val="4.Služby občanov"/>
      <sheetName val="5.Bezpečnosť, právo a por."/>
      <sheetName val="6.Odpadové hospodárstvo"/>
      <sheetName val="7.Komunikácie"/>
      <sheetName val="8.Doprava"/>
      <sheetName val="9. Vzdelávanie"/>
      <sheetName val="10. Šport"/>
      <sheetName val="11. Kultúra"/>
      <sheetName val="12. Prostredie pre život"/>
      <sheetName val="13. Sociálna starostlivosť"/>
      <sheetName val="14. Bývanie"/>
      <sheetName val="15. Administratíva"/>
      <sheetName val="programy spolu"/>
      <sheetName val="Hárok1"/>
    </sheetNames>
    <sheetDataSet>
      <sheetData sheetId="0">
        <row r="5">
          <cell r="AL5">
            <v>159300</v>
          </cell>
          <cell r="AM5">
            <v>0</v>
          </cell>
          <cell r="AN5">
            <v>0</v>
          </cell>
          <cell r="AO5">
            <v>37262.5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159300</v>
          </cell>
          <cell r="AV5">
            <v>0</v>
          </cell>
          <cell r="AW5">
            <v>0</v>
          </cell>
        </row>
        <row r="17">
          <cell r="AL17">
            <v>53150</v>
          </cell>
          <cell r="AM17">
            <v>0</v>
          </cell>
          <cell r="AN17">
            <v>0</v>
          </cell>
          <cell r="AO17">
            <v>16723.779999999995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53150</v>
          </cell>
          <cell r="AV17">
            <v>0</v>
          </cell>
          <cell r="AW17">
            <v>0</v>
          </cell>
        </row>
        <row r="28">
          <cell r="AL28">
            <v>141970</v>
          </cell>
          <cell r="AM28">
            <v>0</v>
          </cell>
          <cell r="AN28">
            <v>0</v>
          </cell>
          <cell r="AO28">
            <v>44066.9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141970</v>
          </cell>
          <cell r="AV28">
            <v>0</v>
          </cell>
          <cell r="AW28">
            <v>0</v>
          </cell>
        </row>
        <row r="33"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</row>
        <row r="41">
          <cell r="AL41">
            <v>29875</v>
          </cell>
          <cell r="AM41">
            <v>0</v>
          </cell>
          <cell r="AN41">
            <v>0</v>
          </cell>
          <cell r="AO41">
            <v>3120.5</v>
          </cell>
          <cell r="AP41">
            <v>0</v>
          </cell>
          <cell r="AQ41">
            <v>0</v>
          </cell>
          <cell r="AR41">
            <v>-10000</v>
          </cell>
          <cell r="AS41">
            <v>0</v>
          </cell>
          <cell r="AT41">
            <v>0</v>
          </cell>
          <cell r="AU41">
            <v>19875</v>
          </cell>
          <cell r="AV41">
            <v>0</v>
          </cell>
          <cell r="AW41">
            <v>0</v>
          </cell>
        </row>
        <row r="58">
          <cell r="AL58">
            <v>10000</v>
          </cell>
          <cell r="AM58">
            <v>0</v>
          </cell>
          <cell r="AN58">
            <v>0</v>
          </cell>
          <cell r="AO58">
            <v>290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10000</v>
          </cell>
          <cell r="AV58">
            <v>0</v>
          </cell>
          <cell r="AW58">
            <v>0</v>
          </cell>
        </row>
        <row r="62">
          <cell r="AL62">
            <v>10500</v>
          </cell>
          <cell r="AM62">
            <v>52700</v>
          </cell>
          <cell r="AN62">
            <v>0</v>
          </cell>
          <cell r="AO62">
            <v>0</v>
          </cell>
          <cell r="AP62">
            <v>8673.64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10500</v>
          </cell>
          <cell r="AV62">
            <v>52700</v>
          </cell>
          <cell r="AW62">
            <v>0</v>
          </cell>
        </row>
        <row r="79">
          <cell r="AL79">
            <v>105800</v>
          </cell>
          <cell r="AM79">
            <v>0</v>
          </cell>
          <cell r="AN79">
            <v>0</v>
          </cell>
          <cell r="AO79">
            <v>23214.34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105800</v>
          </cell>
          <cell r="AV79">
            <v>0</v>
          </cell>
          <cell r="AW79">
            <v>0</v>
          </cell>
        </row>
        <row r="88">
          <cell r="AL88">
            <v>9000</v>
          </cell>
          <cell r="AM88">
            <v>0</v>
          </cell>
          <cell r="AN88">
            <v>0</v>
          </cell>
          <cell r="AO88">
            <v>2600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9000</v>
          </cell>
          <cell r="AV88">
            <v>0</v>
          </cell>
          <cell r="AW88">
            <v>0</v>
          </cell>
        </row>
        <row r="92">
          <cell r="AL92">
            <v>18350</v>
          </cell>
          <cell r="AM92">
            <v>0</v>
          </cell>
          <cell r="AN92">
            <v>0</v>
          </cell>
          <cell r="AO92">
            <v>4732.2800000000007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18350</v>
          </cell>
          <cell r="AV92">
            <v>0</v>
          </cell>
          <cell r="AW92">
            <v>0</v>
          </cell>
        </row>
        <row r="95"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</row>
      </sheetData>
      <sheetData sheetId="1">
        <row r="5">
          <cell r="AL5">
            <v>820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820</v>
          </cell>
          <cell r="AV5">
            <v>0</v>
          </cell>
          <cell r="AW5">
            <v>0</v>
          </cell>
        </row>
        <row r="7">
          <cell r="AL7">
            <v>4000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4000</v>
          </cell>
          <cell r="AV7">
            <v>0</v>
          </cell>
          <cell r="AW7">
            <v>0</v>
          </cell>
        </row>
        <row r="12">
          <cell r="AL12">
            <v>5050</v>
          </cell>
          <cell r="AM12">
            <v>0</v>
          </cell>
          <cell r="AN12">
            <v>0</v>
          </cell>
          <cell r="AO12">
            <v>817.4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5050</v>
          </cell>
          <cell r="AV12">
            <v>0</v>
          </cell>
          <cell r="AW12">
            <v>0</v>
          </cell>
        </row>
        <row r="20"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</row>
        <row r="22"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</row>
        <row r="25"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</row>
        <row r="27">
          <cell r="AL27">
            <v>2000</v>
          </cell>
          <cell r="AM27">
            <v>0</v>
          </cell>
          <cell r="AN27">
            <v>0</v>
          </cell>
          <cell r="AO27">
            <v>136.78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2000</v>
          </cell>
          <cell r="AV27">
            <v>0</v>
          </cell>
          <cell r="AW27">
            <v>0</v>
          </cell>
        </row>
        <row r="29">
          <cell r="AL29">
            <v>4000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4000</v>
          </cell>
          <cell r="AV29">
            <v>0</v>
          </cell>
          <cell r="AW29">
            <v>0</v>
          </cell>
        </row>
        <row r="32">
          <cell r="AL32">
            <v>17000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17000</v>
          </cell>
          <cell r="AV32">
            <v>0</v>
          </cell>
          <cell r="AW32">
            <v>0</v>
          </cell>
        </row>
        <row r="46">
          <cell r="AL46">
            <v>1500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1500</v>
          </cell>
          <cell r="AV46">
            <v>0</v>
          </cell>
          <cell r="AW46">
            <v>0</v>
          </cell>
        </row>
        <row r="51">
          <cell r="AL51">
            <v>11700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2700</v>
          </cell>
          <cell r="AS51">
            <v>0</v>
          </cell>
          <cell r="AT51">
            <v>0</v>
          </cell>
          <cell r="AU51">
            <v>14400</v>
          </cell>
          <cell r="AV51">
            <v>0</v>
          </cell>
          <cell r="AW51">
            <v>0</v>
          </cell>
        </row>
      </sheetData>
      <sheetData sheetId="2">
        <row r="4">
          <cell r="AL4">
            <v>121650</v>
          </cell>
          <cell r="AM4">
            <v>0</v>
          </cell>
          <cell r="AN4">
            <v>0</v>
          </cell>
          <cell r="AO4">
            <v>27281.550000000003</v>
          </cell>
          <cell r="AP4">
            <v>0</v>
          </cell>
          <cell r="AQ4">
            <v>0</v>
          </cell>
          <cell r="AR4">
            <v>-8002</v>
          </cell>
          <cell r="AS4">
            <v>0</v>
          </cell>
          <cell r="AT4">
            <v>0</v>
          </cell>
          <cell r="AU4">
            <v>113648</v>
          </cell>
          <cell r="AV4">
            <v>0</v>
          </cell>
          <cell r="AW4">
            <v>0</v>
          </cell>
        </row>
        <row r="23">
          <cell r="AL23">
            <v>1000</v>
          </cell>
          <cell r="AM23">
            <v>0</v>
          </cell>
          <cell r="AN23">
            <v>0</v>
          </cell>
          <cell r="AO23">
            <v>172.6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1000</v>
          </cell>
          <cell r="AV23">
            <v>0</v>
          </cell>
          <cell r="AW23">
            <v>0</v>
          </cell>
        </row>
        <row r="29">
          <cell r="AL29">
            <v>2300</v>
          </cell>
          <cell r="AM29">
            <v>0</v>
          </cell>
          <cell r="AN29">
            <v>0</v>
          </cell>
          <cell r="AO29">
            <v>445.37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2300</v>
          </cell>
          <cell r="AV29">
            <v>0</v>
          </cell>
          <cell r="AW29">
            <v>0</v>
          </cell>
        </row>
        <row r="34">
          <cell r="AL34">
            <v>15700</v>
          </cell>
          <cell r="AM34">
            <v>0</v>
          </cell>
          <cell r="AN34">
            <v>0</v>
          </cell>
          <cell r="AO34">
            <v>7205.45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15700</v>
          </cell>
          <cell r="AV34">
            <v>0</v>
          </cell>
          <cell r="AW34">
            <v>0</v>
          </cell>
        </row>
        <row r="37">
          <cell r="AL37">
            <v>278570</v>
          </cell>
          <cell r="AM37">
            <v>0</v>
          </cell>
          <cell r="AN37">
            <v>0</v>
          </cell>
          <cell r="AO37">
            <v>76846.449999999983</v>
          </cell>
          <cell r="AP37">
            <v>0</v>
          </cell>
          <cell r="AQ37">
            <v>0</v>
          </cell>
          <cell r="AR37">
            <v>-2000</v>
          </cell>
          <cell r="AS37">
            <v>0</v>
          </cell>
          <cell r="AT37">
            <v>0</v>
          </cell>
          <cell r="AU37">
            <v>276570</v>
          </cell>
          <cell r="AV37">
            <v>0</v>
          </cell>
          <cell r="AW37">
            <v>0</v>
          </cell>
        </row>
        <row r="95">
          <cell r="AL95">
            <v>2000</v>
          </cell>
          <cell r="AM95">
            <v>0</v>
          </cell>
          <cell r="AN95">
            <v>0</v>
          </cell>
          <cell r="AO95">
            <v>257.07</v>
          </cell>
          <cell r="AP95">
            <v>0</v>
          </cell>
          <cell r="AQ95">
            <v>0</v>
          </cell>
          <cell r="AR95">
            <v>4000</v>
          </cell>
          <cell r="AS95">
            <v>20000</v>
          </cell>
          <cell r="AT95">
            <v>0</v>
          </cell>
          <cell r="AU95">
            <v>6000</v>
          </cell>
          <cell r="AV95">
            <v>20000</v>
          </cell>
          <cell r="AW95">
            <v>0</v>
          </cell>
        </row>
        <row r="100">
          <cell r="AL100">
            <v>7000</v>
          </cell>
          <cell r="AM100">
            <v>0</v>
          </cell>
          <cell r="AN100">
            <v>0</v>
          </cell>
          <cell r="AO100">
            <v>2416.79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7000</v>
          </cell>
          <cell r="AV100">
            <v>0</v>
          </cell>
          <cell r="AW100">
            <v>0</v>
          </cell>
        </row>
        <row r="106"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</row>
      </sheetData>
      <sheetData sheetId="3">
        <row r="4">
          <cell r="AL4">
            <v>28450</v>
          </cell>
          <cell r="AM4">
            <v>0</v>
          </cell>
          <cell r="AN4">
            <v>0</v>
          </cell>
          <cell r="AO4">
            <v>10310.66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28450</v>
          </cell>
          <cell r="AV4">
            <v>0</v>
          </cell>
          <cell r="AW4">
            <v>0</v>
          </cell>
        </row>
        <row r="17">
          <cell r="AL17">
            <v>33900</v>
          </cell>
          <cell r="AM17">
            <v>0</v>
          </cell>
          <cell r="AN17">
            <v>0</v>
          </cell>
          <cell r="AO17">
            <v>10363.520000000002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33900</v>
          </cell>
          <cell r="AV17">
            <v>0</v>
          </cell>
          <cell r="AW17">
            <v>0</v>
          </cell>
        </row>
        <row r="29">
          <cell r="AL29">
            <v>2000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2000</v>
          </cell>
          <cell r="AV29">
            <v>0</v>
          </cell>
          <cell r="AW29">
            <v>0</v>
          </cell>
        </row>
        <row r="31">
          <cell r="AL31"/>
          <cell r="AM31"/>
          <cell r="AN31"/>
          <cell r="AO31"/>
          <cell r="AP31"/>
          <cell r="AQ31"/>
          <cell r="AR31"/>
          <cell r="AS31"/>
          <cell r="AT31"/>
          <cell r="AU31">
            <v>0</v>
          </cell>
          <cell r="AV31">
            <v>0</v>
          </cell>
          <cell r="AW31">
            <v>0</v>
          </cell>
        </row>
      </sheetData>
      <sheetData sheetId="4">
        <row r="5">
          <cell r="AL5">
            <v>817705</v>
          </cell>
          <cell r="AM5">
            <v>2700</v>
          </cell>
          <cell r="AN5">
            <v>16000</v>
          </cell>
          <cell r="AO5">
            <v>231256.85000000003</v>
          </cell>
          <cell r="AP5">
            <v>2705</v>
          </cell>
          <cell r="AQ5">
            <v>2568</v>
          </cell>
          <cell r="AR5">
            <v>0</v>
          </cell>
          <cell r="AS5">
            <v>5</v>
          </cell>
          <cell r="AT5">
            <v>0</v>
          </cell>
          <cell r="AU5">
            <v>817705</v>
          </cell>
          <cell r="AV5">
            <v>2705</v>
          </cell>
          <cell r="AW5">
            <v>16000</v>
          </cell>
        </row>
        <row r="61">
          <cell r="AL61">
            <v>201900</v>
          </cell>
          <cell r="AM61">
            <v>0</v>
          </cell>
          <cell r="AN61">
            <v>0</v>
          </cell>
          <cell r="AO61">
            <v>51152.44000000001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201900</v>
          </cell>
          <cell r="AV61">
            <v>0</v>
          </cell>
          <cell r="AW61">
            <v>0</v>
          </cell>
        </row>
        <row r="84">
          <cell r="AL84">
            <v>84500</v>
          </cell>
          <cell r="AM84">
            <v>0</v>
          </cell>
          <cell r="AN84">
            <v>0</v>
          </cell>
          <cell r="AO84">
            <v>26057.949999999997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84500</v>
          </cell>
          <cell r="AV84">
            <v>0</v>
          </cell>
          <cell r="AW84">
            <v>0</v>
          </cell>
        </row>
        <row r="87">
          <cell r="AL87">
            <v>86200</v>
          </cell>
          <cell r="AM87">
            <v>0</v>
          </cell>
          <cell r="AN87">
            <v>0</v>
          </cell>
          <cell r="AO87">
            <v>25930.21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86200</v>
          </cell>
          <cell r="AV87">
            <v>0</v>
          </cell>
          <cell r="AW87">
            <v>0</v>
          </cell>
        </row>
        <row r="95"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</row>
        <row r="97">
          <cell r="AL97">
            <v>7400</v>
          </cell>
          <cell r="AM97">
            <v>0</v>
          </cell>
          <cell r="AN97">
            <v>0</v>
          </cell>
          <cell r="AO97">
            <v>900.13</v>
          </cell>
          <cell r="AP97">
            <v>0</v>
          </cell>
          <cell r="AQ97">
            <v>0</v>
          </cell>
          <cell r="AR97">
            <v>2600</v>
          </cell>
          <cell r="AS97">
            <v>0</v>
          </cell>
          <cell r="AT97">
            <v>0</v>
          </cell>
          <cell r="AU97">
            <v>10000</v>
          </cell>
          <cell r="AV97">
            <v>0</v>
          </cell>
          <cell r="AW97">
            <v>0</v>
          </cell>
        </row>
        <row r="115">
          <cell r="AL115">
            <v>0</v>
          </cell>
          <cell r="AM115">
            <v>115000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115000</v>
          </cell>
          <cell r="AW115">
            <v>0</v>
          </cell>
        </row>
        <row r="122">
          <cell r="AL122">
            <v>100000</v>
          </cell>
          <cell r="AM122">
            <v>0</v>
          </cell>
          <cell r="AN122">
            <v>0</v>
          </cell>
          <cell r="AO122">
            <v>46012.04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100000</v>
          </cell>
          <cell r="AV122">
            <v>0</v>
          </cell>
          <cell r="AW122">
            <v>0</v>
          </cell>
        </row>
        <row r="125">
          <cell r="AL125">
            <v>140000</v>
          </cell>
          <cell r="AM125">
            <v>0</v>
          </cell>
          <cell r="AN125">
            <v>0</v>
          </cell>
          <cell r="AO125">
            <v>49962.64</v>
          </cell>
          <cell r="AP125">
            <v>0</v>
          </cell>
          <cell r="AQ125">
            <v>0</v>
          </cell>
          <cell r="AR125">
            <v>-7000</v>
          </cell>
          <cell r="AS125">
            <v>0</v>
          </cell>
          <cell r="AT125">
            <v>0</v>
          </cell>
          <cell r="AU125">
            <v>133000</v>
          </cell>
          <cell r="AV125">
            <v>0</v>
          </cell>
          <cell r="AW125">
            <v>0</v>
          </cell>
        </row>
        <row r="128"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</row>
        <row r="132">
          <cell r="AL132">
            <v>6300</v>
          </cell>
          <cell r="AM132">
            <v>0</v>
          </cell>
          <cell r="AN132">
            <v>0</v>
          </cell>
          <cell r="AO132">
            <v>1100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6300</v>
          </cell>
          <cell r="AV132">
            <v>0</v>
          </cell>
          <cell r="AW132">
            <v>0</v>
          </cell>
        </row>
        <row r="134">
          <cell r="AL134">
            <v>3000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3000</v>
          </cell>
          <cell r="AV134">
            <v>0</v>
          </cell>
          <cell r="AW134">
            <v>0</v>
          </cell>
        </row>
      </sheetData>
      <sheetData sheetId="5">
        <row r="5">
          <cell r="AL5">
            <v>2300</v>
          </cell>
          <cell r="AM5">
            <v>6500</v>
          </cell>
          <cell r="AN5">
            <v>0</v>
          </cell>
          <cell r="AO5">
            <v>0</v>
          </cell>
          <cell r="AP5">
            <v>6472.64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2300</v>
          </cell>
          <cell r="AV5">
            <v>6500</v>
          </cell>
          <cell r="AW5">
            <v>0</v>
          </cell>
        </row>
        <row r="10">
          <cell r="AL10">
            <v>1666200</v>
          </cell>
          <cell r="AM10">
            <v>0</v>
          </cell>
          <cell r="AN10">
            <v>0</v>
          </cell>
          <cell r="AO10">
            <v>477614.52</v>
          </cell>
          <cell r="AP10">
            <v>0</v>
          </cell>
          <cell r="AQ10">
            <v>0</v>
          </cell>
          <cell r="AR10">
            <v>5000</v>
          </cell>
          <cell r="AS10">
            <v>0</v>
          </cell>
          <cell r="AT10">
            <v>0</v>
          </cell>
          <cell r="AU10">
            <v>1671200</v>
          </cell>
          <cell r="AV10">
            <v>0</v>
          </cell>
          <cell r="AW10">
            <v>0</v>
          </cell>
        </row>
        <row r="26"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</row>
        <row r="29"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</row>
        <row r="31">
          <cell r="AL31">
            <v>215500</v>
          </cell>
          <cell r="AM31">
            <v>0</v>
          </cell>
          <cell r="AN31">
            <v>0</v>
          </cell>
          <cell r="AO31">
            <v>95239.66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215500</v>
          </cell>
          <cell r="AV31">
            <v>0</v>
          </cell>
          <cell r="AW31">
            <v>0</v>
          </cell>
        </row>
      </sheetData>
      <sheetData sheetId="6">
        <row r="5"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</row>
        <row r="7">
          <cell r="AL7">
            <v>0</v>
          </cell>
          <cell r="AM7">
            <v>237000</v>
          </cell>
          <cell r="AN7">
            <v>0</v>
          </cell>
          <cell r="AO7">
            <v>0</v>
          </cell>
          <cell r="AP7">
            <v>75633.320000000007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237000</v>
          </cell>
          <cell r="AW7">
            <v>0</v>
          </cell>
        </row>
        <row r="15">
          <cell r="AL15">
            <v>50000</v>
          </cell>
          <cell r="AM15">
            <v>0</v>
          </cell>
          <cell r="AN15">
            <v>0</v>
          </cell>
          <cell r="AO15">
            <v>48397.43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50000</v>
          </cell>
          <cell r="AV15">
            <v>0</v>
          </cell>
          <cell r="AW15">
            <v>0</v>
          </cell>
        </row>
        <row r="17">
          <cell r="AL17">
            <v>200000</v>
          </cell>
          <cell r="AM17">
            <v>0</v>
          </cell>
          <cell r="AN17">
            <v>0</v>
          </cell>
          <cell r="AO17">
            <v>122798.77</v>
          </cell>
          <cell r="AP17">
            <v>0</v>
          </cell>
          <cell r="AQ17">
            <v>0</v>
          </cell>
          <cell r="AR17">
            <v>-20000</v>
          </cell>
          <cell r="AS17">
            <v>0</v>
          </cell>
          <cell r="AT17">
            <v>0</v>
          </cell>
          <cell r="AU17">
            <v>180000</v>
          </cell>
          <cell r="AV17">
            <v>0</v>
          </cell>
          <cell r="AW17">
            <v>0</v>
          </cell>
        </row>
        <row r="19">
          <cell r="AL19">
            <v>93100</v>
          </cell>
          <cell r="AM19">
            <v>0</v>
          </cell>
          <cell r="AN19">
            <v>0</v>
          </cell>
          <cell r="AO19">
            <v>28080.67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93100</v>
          </cell>
          <cell r="AV19">
            <v>0</v>
          </cell>
          <cell r="AW19">
            <v>0</v>
          </cell>
        </row>
        <row r="26">
          <cell r="AL26">
            <v>30000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30000</v>
          </cell>
          <cell r="AV26">
            <v>0</v>
          </cell>
          <cell r="AW26">
            <v>0</v>
          </cell>
        </row>
        <row r="28">
          <cell r="AL28">
            <v>10000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10000</v>
          </cell>
          <cell r="AV28">
            <v>0</v>
          </cell>
          <cell r="AW28">
            <v>0</v>
          </cell>
        </row>
        <row r="31">
          <cell r="AL31">
            <v>375</v>
          </cell>
          <cell r="AM31">
            <v>20000</v>
          </cell>
          <cell r="AN31">
            <v>0</v>
          </cell>
          <cell r="AO31">
            <v>374.32</v>
          </cell>
          <cell r="AP31">
            <v>0</v>
          </cell>
          <cell r="AQ31">
            <v>0</v>
          </cell>
          <cell r="AR31">
            <v>0</v>
          </cell>
          <cell r="AS31">
            <v>9000</v>
          </cell>
          <cell r="AT31">
            <v>0</v>
          </cell>
          <cell r="AU31">
            <v>375</v>
          </cell>
          <cell r="AV31">
            <v>29000</v>
          </cell>
          <cell r="AW31">
            <v>0</v>
          </cell>
        </row>
        <row r="33">
          <cell r="AL33">
            <v>10000</v>
          </cell>
          <cell r="AM33">
            <v>2584000</v>
          </cell>
          <cell r="AN33">
            <v>0</v>
          </cell>
          <cell r="AO33">
            <v>0</v>
          </cell>
          <cell r="AP33">
            <v>183754.82</v>
          </cell>
          <cell r="AQ33">
            <v>0</v>
          </cell>
          <cell r="AR33">
            <v>0</v>
          </cell>
          <cell r="AS33">
            <v>-350000</v>
          </cell>
          <cell r="AT33">
            <v>0</v>
          </cell>
          <cell r="AU33">
            <v>10000</v>
          </cell>
          <cell r="AV33">
            <v>2234000</v>
          </cell>
          <cell r="AW33">
            <v>0</v>
          </cell>
        </row>
        <row r="36">
          <cell r="AL36">
            <v>19000</v>
          </cell>
          <cell r="AM36">
            <v>0</v>
          </cell>
          <cell r="AN36">
            <v>0</v>
          </cell>
          <cell r="AO36">
            <v>6748.74</v>
          </cell>
          <cell r="AP36">
            <v>0</v>
          </cell>
          <cell r="AQ36">
            <v>0</v>
          </cell>
          <cell r="AR36">
            <v>2200</v>
          </cell>
          <cell r="AS36">
            <v>0</v>
          </cell>
          <cell r="AT36">
            <v>0</v>
          </cell>
          <cell r="AU36">
            <v>21200</v>
          </cell>
          <cell r="AV36">
            <v>0</v>
          </cell>
          <cell r="AW36">
            <v>0</v>
          </cell>
        </row>
        <row r="39"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</row>
      </sheetData>
      <sheetData sheetId="7">
        <row r="4">
          <cell r="AL4">
            <v>282000</v>
          </cell>
          <cell r="AM4">
            <v>0</v>
          </cell>
          <cell r="AN4">
            <v>0</v>
          </cell>
          <cell r="AO4">
            <v>100000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282000</v>
          </cell>
          <cell r="AV4">
            <v>0</v>
          </cell>
          <cell r="AW4">
            <v>0</v>
          </cell>
        </row>
        <row r="6"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</row>
      </sheetData>
      <sheetData sheetId="8">
        <row r="4">
          <cell r="AL4">
            <v>6000</v>
          </cell>
          <cell r="AM4">
            <v>0</v>
          </cell>
          <cell r="AN4">
            <v>0</v>
          </cell>
          <cell r="AO4">
            <v>2959.55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6000</v>
          </cell>
          <cell r="AV4">
            <v>0</v>
          </cell>
          <cell r="AW4">
            <v>0</v>
          </cell>
        </row>
        <row r="20">
          <cell r="AL20">
            <v>351180</v>
          </cell>
          <cell r="AM20">
            <v>0</v>
          </cell>
          <cell r="AN20">
            <v>0</v>
          </cell>
          <cell r="AO20">
            <v>120599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351180</v>
          </cell>
          <cell r="AV20">
            <v>0</v>
          </cell>
          <cell r="AW20">
            <v>0</v>
          </cell>
        </row>
        <row r="23">
          <cell r="AL23">
            <v>511250</v>
          </cell>
          <cell r="AM23">
            <v>8000</v>
          </cell>
          <cell r="AN23">
            <v>0</v>
          </cell>
          <cell r="AO23">
            <v>167643</v>
          </cell>
          <cell r="AP23">
            <v>0</v>
          </cell>
          <cell r="AQ23">
            <v>0</v>
          </cell>
          <cell r="AR23">
            <v>13661</v>
          </cell>
          <cell r="AS23">
            <v>0</v>
          </cell>
          <cell r="AT23">
            <v>0</v>
          </cell>
          <cell r="AU23">
            <v>524911</v>
          </cell>
          <cell r="AV23">
            <v>8000</v>
          </cell>
          <cell r="AW23">
            <v>0</v>
          </cell>
        </row>
        <row r="26">
          <cell r="AL26">
            <v>832712</v>
          </cell>
          <cell r="AM26">
            <v>0</v>
          </cell>
          <cell r="AN26">
            <v>0</v>
          </cell>
          <cell r="AO26">
            <v>276655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832712</v>
          </cell>
          <cell r="AV26">
            <v>0</v>
          </cell>
          <cell r="AW26">
            <v>0</v>
          </cell>
        </row>
        <row r="29">
          <cell r="AL29"/>
          <cell r="AM29"/>
          <cell r="AN29"/>
          <cell r="AO29"/>
          <cell r="AP29"/>
          <cell r="AQ29"/>
          <cell r="AR29"/>
          <cell r="AS29"/>
          <cell r="AT29"/>
          <cell r="AU29"/>
          <cell r="AV29"/>
          <cell r="AW29"/>
        </row>
        <row r="30">
          <cell r="AL30">
            <v>426865</v>
          </cell>
          <cell r="AM30">
            <v>118000</v>
          </cell>
          <cell r="AN30">
            <v>0</v>
          </cell>
          <cell r="AO30">
            <v>145833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426865</v>
          </cell>
          <cell r="AV30">
            <v>118000</v>
          </cell>
          <cell r="AW30">
            <v>0</v>
          </cell>
        </row>
        <row r="33">
          <cell r="AL33">
            <v>459037</v>
          </cell>
          <cell r="AM33">
            <v>13012</v>
          </cell>
          <cell r="AN33">
            <v>0</v>
          </cell>
          <cell r="AO33">
            <v>149519</v>
          </cell>
          <cell r="AP33">
            <v>13012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459037</v>
          </cell>
          <cell r="AV33">
            <v>13012</v>
          </cell>
          <cell r="AW33">
            <v>0</v>
          </cell>
        </row>
        <row r="36">
          <cell r="AL36">
            <v>456217</v>
          </cell>
          <cell r="AM36">
            <v>58000</v>
          </cell>
          <cell r="AN36">
            <v>0</v>
          </cell>
          <cell r="AO36">
            <v>152239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456217</v>
          </cell>
          <cell r="AV36">
            <v>58000</v>
          </cell>
          <cell r="AW36">
            <v>0</v>
          </cell>
        </row>
        <row r="39">
          <cell r="AL39"/>
          <cell r="AM39"/>
          <cell r="AN39"/>
          <cell r="AO39"/>
          <cell r="AP39"/>
          <cell r="AQ39"/>
          <cell r="AR39"/>
          <cell r="AS39"/>
          <cell r="AT39"/>
          <cell r="AU39">
            <v>0</v>
          </cell>
          <cell r="AV39">
            <v>0</v>
          </cell>
          <cell r="AW39">
            <v>0</v>
          </cell>
        </row>
        <row r="41">
          <cell r="AL41">
            <v>798820</v>
          </cell>
          <cell r="AM41">
            <v>0</v>
          </cell>
          <cell r="AN41">
            <v>0</v>
          </cell>
          <cell r="AO41">
            <v>271283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798820</v>
          </cell>
          <cell r="AV41">
            <v>0</v>
          </cell>
          <cell r="AW41">
            <v>0</v>
          </cell>
        </row>
        <row r="45">
          <cell r="AL45">
            <v>1309520</v>
          </cell>
          <cell r="AM45">
            <v>241000</v>
          </cell>
          <cell r="AN45">
            <v>0</v>
          </cell>
          <cell r="AO45">
            <v>431742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1309520</v>
          </cell>
          <cell r="AV45">
            <v>241000</v>
          </cell>
          <cell r="AW45">
            <v>0</v>
          </cell>
        </row>
        <row r="49">
          <cell r="AL49">
            <v>2167805</v>
          </cell>
          <cell r="AM49">
            <v>133000</v>
          </cell>
          <cell r="AN49">
            <v>0</v>
          </cell>
          <cell r="AO49">
            <v>720564</v>
          </cell>
          <cell r="AP49">
            <v>92000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2167805</v>
          </cell>
          <cell r="AV49">
            <v>133000</v>
          </cell>
          <cell r="AW49">
            <v>0</v>
          </cell>
        </row>
        <row r="54">
          <cell r="AL54">
            <v>1901382</v>
          </cell>
          <cell r="AM54">
            <v>395000</v>
          </cell>
          <cell r="AN54">
            <v>0</v>
          </cell>
          <cell r="AO54">
            <v>621676</v>
          </cell>
          <cell r="AP54">
            <v>0</v>
          </cell>
          <cell r="AQ54">
            <v>0</v>
          </cell>
          <cell r="AR54">
            <v>-15000</v>
          </cell>
          <cell r="AS54">
            <v>-17400</v>
          </cell>
          <cell r="AT54">
            <v>0</v>
          </cell>
          <cell r="AU54">
            <v>1886382</v>
          </cell>
          <cell r="AV54">
            <v>377600</v>
          </cell>
          <cell r="AW54">
            <v>0</v>
          </cell>
        </row>
        <row r="57">
          <cell r="AL57">
            <v>1516301</v>
          </cell>
          <cell r="AM57">
            <v>0</v>
          </cell>
          <cell r="AN57">
            <v>0</v>
          </cell>
          <cell r="AO57">
            <v>500665</v>
          </cell>
          <cell r="AP57">
            <v>0</v>
          </cell>
          <cell r="AQ57">
            <v>0</v>
          </cell>
          <cell r="AR57">
            <v>22000</v>
          </cell>
          <cell r="AS57">
            <v>0</v>
          </cell>
          <cell r="AT57">
            <v>0</v>
          </cell>
          <cell r="AU57">
            <v>1538301</v>
          </cell>
          <cell r="AV57">
            <v>0</v>
          </cell>
          <cell r="AW57">
            <v>0</v>
          </cell>
        </row>
        <row r="60">
          <cell r="AL60">
            <v>843733</v>
          </cell>
          <cell r="AM60">
            <v>0</v>
          </cell>
          <cell r="AN60">
            <v>0</v>
          </cell>
          <cell r="AO60">
            <v>285735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843733</v>
          </cell>
          <cell r="AV60">
            <v>0</v>
          </cell>
          <cell r="AW60">
            <v>0</v>
          </cell>
        </row>
        <row r="65">
          <cell r="AL65">
            <v>815500</v>
          </cell>
          <cell r="AM65">
            <v>53000</v>
          </cell>
          <cell r="AN65">
            <v>0</v>
          </cell>
          <cell r="AO65">
            <v>286036</v>
          </cell>
          <cell r="AP65"/>
          <cell r="AQ65"/>
          <cell r="AR65"/>
          <cell r="AS65"/>
          <cell r="AT65"/>
          <cell r="AU65">
            <v>815500</v>
          </cell>
          <cell r="AV65">
            <v>53000</v>
          </cell>
          <cell r="AW65">
            <v>0</v>
          </cell>
        </row>
        <row r="66">
          <cell r="AL66">
            <v>270400</v>
          </cell>
          <cell r="AM66">
            <v>0</v>
          </cell>
          <cell r="AN66">
            <v>0</v>
          </cell>
          <cell r="AO66">
            <v>95565</v>
          </cell>
          <cell r="AP66"/>
          <cell r="AQ66"/>
          <cell r="AR66">
            <v>-7000</v>
          </cell>
          <cell r="AS66"/>
          <cell r="AT66"/>
          <cell r="AU66">
            <v>263400</v>
          </cell>
          <cell r="AV66">
            <v>0</v>
          </cell>
          <cell r="AW66">
            <v>0</v>
          </cell>
        </row>
        <row r="67">
          <cell r="AL67">
            <v>1152120</v>
          </cell>
          <cell r="AM67">
            <v>0</v>
          </cell>
          <cell r="AN67">
            <v>0</v>
          </cell>
          <cell r="AO67">
            <v>415159.89999999997</v>
          </cell>
          <cell r="AP67">
            <v>0</v>
          </cell>
          <cell r="AQ67">
            <v>0</v>
          </cell>
          <cell r="AR67">
            <v>44563</v>
          </cell>
          <cell r="AS67">
            <v>0</v>
          </cell>
          <cell r="AT67">
            <v>0</v>
          </cell>
          <cell r="AU67">
            <v>1196683</v>
          </cell>
          <cell r="AV67">
            <v>0</v>
          </cell>
          <cell r="AW67">
            <v>0</v>
          </cell>
        </row>
        <row r="91">
          <cell r="AL91">
            <v>1111992</v>
          </cell>
          <cell r="AM91">
            <v>510145</v>
          </cell>
          <cell r="AN91">
            <v>0</v>
          </cell>
          <cell r="AO91">
            <v>352496.33</v>
          </cell>
          <cell r="AP91"/>
          <cell r="AQ91"/>
          <cell r="AR91">
            <v>21590</v>
          </cell>
          <cell r="AS91"/>
          <cell r="AT91"/>
          <cell r="AU91">
            <v>1133582</v>
          </cell>
          <cell r="AV91">
            <v>510145</v>
          </cell>
          <cell r="AW91">
            <v>0</v>
          </cell>
        </row>
        <row r="92">
          <cell r="AL92">
            <v>615614</v>
          </cell>
          <cell r="AM92">
            <v>26988</v>
          </cell>
          <cell r="AN92">
            <v>0</v>
          </cell>
          <cell r="AO92">
            <v>81558.2</v>
          </cell>
          <cell r="AP92">
            <v>0</v>
          </cell>
          <cell r="AQ92">
            <v>0</v>
          </cell>
          <cell r="AR92">
            <v>-44563</v>
          </cell>
          <cell r="AS92">
            <v>0</v>
          </cell>
          <cell r="AT92">
            <v>0</v>
          </cell>
          <cell r="AU92">
            <v>571051</v>
          </cell>
          <cell r="AV92">
            <v>26988</v>
          </cell>
          <cell r="AW92">
            <v>0</v>
          </cell>
        </row>
        <row r="99">
          <cell r="AL99">
            <v>1351030</v>
          </cell>
          <cell r="AM99">
            <v>0</v>
          </cell>
          <cell r="AN99">
            <v>0</v>
          </cell>
          <cell r="AO99">
            <v>677734.43</v>
          </cell>
          <cell r="AP99"/>
          <cell r="AQ99"/>
          <cell r="AR99">
            <v>10000</v>
          </cell>
          <cell r="AS99"/>
          <cell r="AT99"/>
          <cell r="AU99">
            <v>1361030</v>
          </cell>
          <cell r="AV99">
            <v>0</v>
          </cell>
          <cell r="AW99">
            <v>0</v>
          </cell>
        </row>
      </sheetData>
      <sheetData sheetId="9">
        <row r="4">
          <cell r="AL4">
            <v>5000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5000</v>
          </cell>
          <cell r="AV4">
            <v>0</v>
          </cell>
          <cell r="AW4">
            <v>0</v>
          </cell>
        </row>
        <row r="12">
          <cell r="AL12">
            <v>68200</v>
          </cell>
          <cell r="AM12">
            <v>0</v>
          </cell>
          <cell r="AN12">
            <v>0</v>
          </cell>
          <cell r="AO12">
            <v>27118.979999999996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68200</v>
          </cell>
          <cell r="AV12">
            <v>0</v>
          </cell>
          <cell r="AW12">
            <v>0</v>
          </cell>
        </row>
        <row r="32">
          <cell r="AL32">
            <v>80010</v>
          </cell>
          <cell r="AM32">
            <v>0</v>
          </cell>
          <cell r="AN32">
            <v>0</v>
          </cell>
          <cell r="AO32">
            <v>24585.309999999998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80010</v>
          </cell>
          <cell r="AV32">
            <v>0</v>
          </cell>
          <cell r="AW32">
            <v>0</v>
          </cell>
        </row>
        <row r="54">
          <cell r="AL54">
            <v>23500</v>
          </cell>
          <cell r="AM54">
            <v>0</v>
          </cell>
          <cell r="AN54">
            <v>0</v>
          </cell>
          <cell r="AO54">
            <v>13369.12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23500</v>
          </cell>
          <cell r="AV54">
            <v>0</v>
          </cell>
          <cell r="AW54">
            <v>0</v>
          </cell>
        </row>
        <row r="66">
          <cell r="AL66">
            <v>263300</v>
          </cell>
          <cell r="AM66">
            <v>0</v>
          </cell>
          <cell r="AN66">
            <v>0</v>
          </cell>
          <cell r="AO66">
            <v>87427.589999999982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263300</v>
          </cell>
          <cell r="AV66">
            <v>0</v>
          </cell>
          <cell r="AW66">
            <v>0</v>
          </cell>
        </row>
        <row r="89">
          <cell r="AL89">
            <v>11900</v>
          </cell>
          <cell r="AM89">
            <v>5690</v>
          </cell>
          <cell r="AN89">
            <v>0</v>
          </cell>
          <cell r="AO89">
            <v>3199.6900000000005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11900</v>
          </cell>
          <cell r="AV89">
            <v>5690</v>
          </cell>
          <cell r="AW89">
            <v>0</v>
          </cell>
        </row>
        <row r="97">
          <cell r="AL97">
            <v>1000</v>
          </cell>
          <cell r="AM97">
            <v>550000</v>
          </cell>
          <cell r="AN97">
            <v>0</v>
          </cell>
          <cell r="AO97">
            <v>148.63999999999999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1000</v>
          </cell>
          <cell r="AV97">
            <v>550000</v>
          </cell>
          <cell r="AW97">
            <v>0</v>
          </cell>
        </row>
        <row r="103">
          <cell r="AL103">
            <v>11000</v>
          </cell>
          <cell r="AM103">
            <v>0</v>
          </cell>
          <cell r="AN103">
            <v>0</v>
          </cell>
          <cell r="AO103">
            <v>6426.28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11000</v>
          </cell>
          <cell r="AV103">
            <v>0</v>
          </cell>
          <cell r="AW103">
            <v>0</v>
          </cell>
        </row>
        <row r="111">
          <cell r="AL111">
            <v>5000</v>
          </cell>
          <cell r="AM111">
            <v>0</v>
          </cell>
          <cell r="AN111">
            <v>0</v>
          </cell>
          <cell r="AO111">
            <v>1800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5000</v>
          </cell>
          <cell r="AV111">
            <v>0</v>
          </cell>
          <cell r="AW111">
            <v>0</v>
          </cell>
        </row>
      </sheetData>
      <sheetData sheetId="10">
        <row r="4">
          <cell r="AL4">
            <v>19250</v>
          </cell>
          <cell r="AM4">
            <v>0</v>
          </cell>
          <cell r="AN4">
            <v>0</v>
          </cell>
          <cell r="AO4">
            <v>1817.7800000000002</v>
          </cell>
          <cell r="AP4">
            <v>0</v>
          </cell>
          <cell r="AQ4">
            <v>0</v>
          </cell>
          <cell r="AR4">
            <v>750</v>
          </cell>
          <cell r="AS4">
            <v>0</v>
          </cell>
          <cell r="AT4">
            <v>0</v>
          </cell>
          <cell r="AU4">
            <v>20000</v>
          </cell>
          <cell r="AV4">
            <v>0</v>
          </cell>
          <cell r="AW4">
            <v>0</v>
          </cell>
        </row>
        <row r="20">
          <cell r="AL20">
            <v>205500</v>
          </cell>
          <cell r="AM20">
            <v>0</v>
          </cell>
          <cell r="AN20">
            <v>0</v>
          </cell>
          <cell r="AO20">
            <v>64485.79</v>
          </cell>
          <cell r="AP20">
            <v>0</v>
          </cell>
          <cell r="AQ20">
            <v>0</v>
          </cell>
          <cell r="AR20">
            <v>-3000</v>
          </cell>
          <cell r="AS20">
            <v>0</v>
          </cell>
          <cell r="AT20">
            <v>0</v>
          </cell>
          <cell r="AU20">
            <v>202500</v>
          </cell>
          <cell r="AV20">
            <v>0</v>
          </cell>
          <cell r="AW20">
            <v>0</v>
          </cell>
        </row>
        <row r="27">
          <cell r="AL27">
            <v>7700</v>
          </cell>
          <cell r="AM27">
            <v>37650</v>
          </cell>
          <cell r="AN27">
            <v>0</v>
          </cell>
          <cell r="AO27">
            <v>658.9</v>
          </cell>
          <cell r="AP27">
            <v>0</v>
          </cell>
          <cell r="AQ27">
            <v>0</v>
          </cell>
          <cell r="AR27">
            <v>-4000</v>
          </cell>
          <cell r="AS27">
            <v>0</v>
          </cell>
          <cell r="AT27">
            <v>0</v>
          </cell>
          <cell r="AU27">
            <v>3700</v>
          </cell>
          <cell r="AV27">
            <v>37650</v>
          </cell>
          <cell r="AW27">
            <v>0</v>
          </cell>
        </row>
        <row r="37">
          <cell r="AL37">
            <v>795843</v>
          </cell>
          <cell r="AM37">
            <v>286244</v>
          </cell>
          <cell r="AN37">
            <v>0</v>
          </cell>
          <cell r="AO37">
            <v>213577.37999999995</v>
          </cell>
          <cell r="AP37">
            <v>246591.92</v>
          </cell>
          <cell r="AQ37">
            <v>0</v>
          </cell>
          <cell r="AR37">
            <v>-4100</v>
          </cell>
          <cell r="AS37">
            <v>0</v>
          </cell>
          <cell r="AT37">
            <v>0</v>
          </cell>
          <cell r="AU37">
            <v>791743</v>
          </cell>
          <cell r="AV37">
            <v>286244</v>
          </cell>
          <cell r="AW37">
            <v>0</v>
          </cell>
        </row>
        <row r="126">
          <cell r="AL126">
            <v>15300</v>
          </cell>
          <cell r="AM126">
            <v>0</v>
          </cell>
          <cell r="AN126">
            <v>0</v>
          </cell>
          <cell r="AO126">
            <v>3362.91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15300</v>
          </cell>
          <cell r="AV126">
            <v>0</v>
          </cell>
          <cell r="AW126">
            <v>0</v>
          </cell>
        </row>
        <row r="141">
          <cell r="AL141">
            <v>500</v>
          </cell>
          <cell r="AM141">
            <v>400000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5080</v>
          </cell>
          <cell r="AS141">
            <v>-400000</v>
          </cell>
          <cell r="AT141">
            <v>0</v>
          </cell>
          <cell r="AU141">
            <v>5580</v>
          </cell>
          <cell r="AV141">
            <v>0</v>
          </cell>
          <cell r="AW141">
            <v>0</v>
          </cell>
        </row>
        <row r="144">
          <cell r="AL144">
            <v>5000</v>
          </cell>
          <cell r="AM144">
            <v>0</v>
          </cell>
          <cell r="AN144">
            <v>0</v>
          </cell>
          <cell r="AO144">
            <v>600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5000</v>
          </cell>
          <cell r="AV144">
            <v>0</v>
          </cell>
          <cell r="AW144">
            <v>0</v>
          </cell>
        </row>
      </sheetData>
      <sheetData sheetId="11">
        <row r="5">
          <cell r="AL5">
            <v>538000</v>
          </cell>
          <cell r="AM5">
            <v>0</v>
          </cell>
          <cell r="AN5">
            <v>0</v>
          </cell>
          <cell r="AO5">
            <v>33889.480000000003</v>
          </cell>
          <cell r="AP5">
            <v>0</v>
          </cell>
          <cell r="AQ5">
            <v>0</v>
          </cell>
          <cell r="AR5">
            <v>-5000</v>
          </cell>
          <cell r="AS5">
            <v>0</v>
          </cell>
          <cell r="AT5">
            <v>0</v>
          </cell>
          <cell r="AU5">
            <v>533000</v>
          </cell>
          <cell r="AV5">
            <v>0</v>
          </cell>
          <cell r="AW5">
            <v>0</v>
          </cell>
        </row>
        <row r="24">
          <cell r="AL24">
            <v>6500</v>
          </cell>
          <cell r="AM24">
            <v>0</v>
          </cell>
          <cell r="AN24">
            <v>0</v>
          </cell>
          <cell r="AO24">
            <v>3850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6500</v>
          </cell>
          <cell r="AV24">
            <v>0</v>
          </cell>
          <cell r="AW24">
            <v>0</v>
          </cell>
        </row>
        <row r="26">
          <cell r="AL26">
            <v>500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500</v>
          </cell>
          <cell r="AV26">
            <v>0</v>
          </cell>
          <cell r="AW26">
            <v>0</v>
          </cell>
        </row>
        <row r="44">
          <cell r="AL44">
            <v>800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800</v>
          </cell>
          <cell r="AV44">
            <v>0</v>
          </cell>
          <cell r="AW44">
            <v>0</v>
          </cell>
        </row>
        <row r="48">
          <cell r="AL48">
            <v>5000</v>
          </cell>
          <cell r="AM48">
            <v>0</v>
          </cell>
          <cell r="AN48">
            <v>0</v>
          </cell>
          <cell r="AO48">
            <v>701.1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5000</v>
          </cell>
          <cell r="AV48">
            <v>0</v>
          </cell>
          <cell r="AW48">
            <v>0</v>
          </cell>
        </row>
        <row r="51">
          <cell r="AL51">
            <v>237800</v>
          </cell>
          <cell r="AM51">
            <v>530000</v>
          </cell>
          <cell r="AN51">
            <v>0</v>
          </cell>
          <cell r="AO51">
            <v>1488.6</v>
          </cell>
          <cell r="AP51">
            <v>0</v>
          </cell>
          <cell r="AQ51">
            <v>0</v>
          </cell>
          <cell r="AR51">
            <v>0</v>
          </cell>
          <cell r="AS51">
            <v>6000</v>
          </cell>
          <cell r="AT51">
            <v>0</v>
          </cell>
          <cell r="AU51">
            <v>237800</v>
          </cell>
          <cell r="AV51">
            <v>536000</v>
          </cell>
          <cell r="AW51">
            <v>0</v>
          </cell>
        </row>
        <row r="72">
          <cell r="AL72">
            <v>5000</v>
          </cell>
          <cell r="AM72">
            <v>0</v>
          </cell>
          <cell r="AN72">
            <v>0</v>
          </cell>
          <cell r="AO72">
            <v>363.24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5000</v>
          </cell>
          <cell r="AV72">
            <v>0</v>
          </cell>
          <cell r="AW72">
            <v>0</v>
          </cell>
        </row>
        <row r="74">
          <cell r="AL74">
            <v>42500</v>
          </cell>
          <cell r="AM74">
            <v>0</v>
          </cell>
          <cell r="AN74">
            <v>0</v>
          </cell>
          <cell r="AO74">
            <v>12417.19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42500</v>
          </cell>
          <cell r="AV74">
            <v>0</v>
          </cell>
          <cell r="AW74">
            <v>0</v>
          </cell>
        </row>
        <row r="78">
          <cell r="AL78">
            <v>42100</v>
          </cell>
          <cell r="AM78">
            <v>22730</v>
          </cell>
          <cell r="AN78">
            <v>0</v>
          </cell>
          <cell r="AO78">
            <v>6048.89</v>
          </cell>
          <cell r="AP78">
            <v>0</v>
          </cell>
          <cell r="AQ78">
            <v>0</v>
          </cell>
          <cell r="AR78">
            <v>0</v>
          </cell>
          <cell r="AS78">
            <v>350000</v>
          </cell>
          <cell r="AT78">
            <v>0</v>
          </cell>
          <cell r="AU78">
            <v>42100</v>
          </cell>
          <cell r="AV78">
            <v>372730</v>
          </cell>
          <cell r="AW78">
            <v>0</v>
          </cell>
        </row>
        <row r="106"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</row>
      </sheetData>
      <sheetData sheetId="12">
        <row r="5">
          <cell r="AL5">
            <v>7050</v>
          </cell>
          <cell r="AM5">
            <v>0</v>
          </cell>
          <cell r="AN5">
            <v>0</v>
          </cell>
          <cell r="AO5">
            <v>1760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7050</v>
          </cell>
          <cell r="AV5">
            <v>0</v>
          </cell>
          <cell r="AW5">
            <v>0</v>
          </cell>
        </row>
        <row r="8">
          <cell r="AL8"/>
          <cell r="AM8"/>
          <cell r="AN8"/>
          <cell r="AO8"/>
          <cell r="AP8"/>
          <cell r="AQ8"/>
          <cell r="AR8"/>
          <cell r="AS8"/>
          <cell r="AT8"/>
          <cell r="AU8"/>
          <cell r="AV8"/>
          <cell r="AW8"/>
        </row>
        <row r="9">
          <cell r="AL9">
            <v>11500</v>
          </cell>
          <cell r="AM9">
            <v>0</v>
          </cell>
          <cell r="AN9">
            <v>0</v>
          </cell>
          <cell r="AO9">
            <v>2580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11500</v>
          </cell>
          <cell r="AV9">
            <v>0</v>
          </cell>
          <cell r="AW9">
            <v>0</v>
          </cell>
        </row>
        <row r="17">
          <cell r="AL17">
            <v>90000</v>
          </cell>
          <cell r="AM17">
            <v>0</v>
          </cell>
          <cell r="AN17">
            <v>0</v>
          </cell>
          <cell r="AO17">
            <v>14630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90000</v>
          </cell>
          <cell r="AV17">
            <v>0</v>
          </cell>
          <cell r="AW17">
            <v>0</v>
          </cell>
        </row>
        <row r="21">
          <cell r="AL21">
            <v>10000</v>
          </cell>
          <cell r="AM21">
            <v>0</v>
          </cell>
          <cell r="AN21">
            <v>0</v>
          </cell>
          <cell r="AO21">
            <v>1620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10000</v>
          </cell>
          <cell r="AV21">
            <v>0</v>
          </cell>
          <cell r="AW21">
            <v>0</v>
          </cell>
        </row>
        <row r="24"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</row>
        <row r="26">
          <cell r="AL26">
            <v>122900</v>
          </cell>
          <cell r="AM26">
            <v>0</v>
          </cell>
          <cell r="AN26">
            <v>0</v>
          </cell>
          <cell r="AO26">
            <v>29064.59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122900</v>
          </cell>
          <cell r="AV26">
            <v>0</v>
          </cell>
          <cell r="AW26">
            <v>0</v>
          </cell>
        </row>
        <row r="29">
          <cell r="AL29">
            <v>30000</v>
          </cell>
          <cell r="AM29">
            <v>1617000</v>
          </cell>
          <cell r="AN29">
            <v>0</v>
          </cell>
          <cell r="AO29">
            <v>0</v>
          </cell>
          <cell r="AP29">
            <v>991971.17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30000</v>
          </cell>
          <cell r="AV29">
            <v>1617000</v>
          </cell>
          <cell r="AW29">
            <v>0</v>
          </cell>
        </row>
        <row r="32">
          <cell r="AL32">
            <v>64100</v>
          </cell>
          <cell r="AM32">
            <v>0</v>
          </cell>
          <cell r="AN32">
            <v>0</v>
          </cell>
          <cell r="AO32">
            <v>10420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64100</v>
          </cell>
          <cell r="AV32">
            <v>0</v>
          </cell>
          <cell r="AW32">
            <v>0</v>
          </cell>
        </row>
        <row r="35"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</row>
        <row r="37">
          <cell r="AL37">
            <v>1763920</v>
          </cell>
          <cell r="AM37">
            <v>10000</v>
          </cell>
          <cell r="AN37">
            <v>0</v>
          </cell>
          <cell r="AO37">
            <v>482638.27</v>
          </cell>
          <cell r="AP37">
            <v>5928.6</v>
          </cell>
          <cell r="AQ37">
            <v>0</v>
          </cell>
          <cell r="AR37">
            <v>-28000</v>
          </cell>
          <cell r="AS37">
            <v>6341</v>
          </cell>
          <cell r="AT37">
            <v>0</v>
          </cell>
          <cell r="AU37">
            <v>1735920</v>
          </cell>
          <cell r="AV37">
            <v>16341</v>
          </cell>
          <cell r="AW37">
            <v>0</v>
          </cell>
        </row>
        <row r="52">
          <cell r="AL52">
            <v>306150</v>
          </cell>
          <cell r="AM52">
            <v>0</v>
          </cell>
          <cell r="AN52">
            <v>0</v>
          </cell>
          <cell r="AO52">
            <v>66066.33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306150</v>
          </cell>
          <cell r="AV52">
            <v>0</v>
          </cell>
          <cell r="AW52">
            <v>0</v>
          </cell>
        </row>
        <row r="57">
          <cell r="AL57">
            <v>49500</v>
          </cell>
          <cell r="AM57">
            <v>0</v>
          </cell>
          <cell r="AN57">
            <v>0</v>
          </cell>
          <cell r="AO57">
            <v>12172.33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49500</v>
          </cell>
          <cell r="AV57">
            <v>0</v>
          </cell>
          <cell r="AW57">
            <v>0</v>
          </cell>
        </row>
        <row r="61">
          <cell r="AL61">
            <v>6550</v>
          </cell>
          <cell r="AM61">
            <v>0</v>
          </cell>
          <cell r="AN61">
            <v>0</v>
          </cell>
          <cell r="AO61">
            <v>1060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6550</v>
          </cell>
          <cell r="AV61">
            <v>0</v>
          </cell>
          <cell r="AW61">
            <v>0</v>
          </cell>
        </row>
        <row r="64">
          <cell r="AL64">
            <v>84150</v>
          </cell>
          <cell r="AM64">
            <v>0</v>
          </cell>
          <cell r="AN64">
            <v>0</v>
          </cell>
          <cell r="AO64">
            <v>20672.96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84150</v>
          </cell>
          <cell r="AV64">
            <v>0</v>
          </cell>
          <cell r="AW64">
            <v>0</v>
          </cell>
        </row>
        <row r="67">
          <cell r="AL67">
            <v>8950</v>
          </cell>
          <cell r="AM67">
            <v>0</v>
          </cell>
          <cell r="AN67">
            <v>0</v>
          </cell>
          <cell r="AO67">
            <v>1460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8950</v>
          </cell>
          <cell r="AV67">
            <v>0</v>
          </cell>
          <cell r="AW67">
            <v>0</v>
          </cell>
        </row>
        <row r="69">
          <cell r="AL69">
            <v>1000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1000</v>
          </cell>
          <cell r="AV69">
            <v>0</v>
          </cell>
          <cell r="AW69">
            <v>0</v>
          </cell>
        </row>
        <row r="81">
          <cell r="AL81">
            <v>51630</v>
          </cell>
          <cell r="AM81">
            <v>0</v>
          </cell>
          <cell r="AN81">
            <v>0</v>
          </cell>
          <cell r="AO81">
            <v>870.05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51630</v>
          </cell>
          <cell r="AV81">
            <v>0</v>
          </cell>
          <cell r="AW81">
            <v>0</v>
          </cell>
        </row>
        <row r="106">
          <cell r="AL106">
            <v>20000</v>
          </cell>
          <cell r="AM106">
            <v>0</v>
          </cell>
          <cell r="AN106">
            <v>0</v>
          </cell>
          <cell r="AO106">
            <v>7538.64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20000</v>
          </cell>
          <cell r="AV106">
            <v>0</v>
          </cell>
          <cell r="AW106">
            <v>0</v>
          </cell>
        </row>
        <row r="108">
          <cell r="AL108">
            <v>193500</v>
          </cell>
          <cell r="AM108">
            <v>0</v>
          </cell>
          <cell r="AN108">
            <v>0</v>
          </cell>
          <cell r="AO108">
            <v>36709.550000000003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193500</v>
          </cell>
          <cell r="AV108">
            <v>0</v>
          </cell>
          <cell r="AW108">
            <v>0</v>
          </cell>
        </row>
        <row r="114">
          <cell r="AL114">
            <v>110000</v>
          </cell>
          <cell r="AM114">
            <v>0</v>
          </cell>
          <cell r="AN114">
            <v>0</v>
          </cell>
          <cell r="AO114">
            <v>24970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110000</v>
          </cell>
          <cell r="AV114">
            <v>0</v>
          </cell>
          <cell r="AW114">
            <v>0</v>
          </cell>
        </row>
      </sheetData>
      <sheetData sheetId="13">
        <row r="24">
          <cell r="AL24">
            <v>705250</v>
          </cell>
          <cell r="AM24">
            <v>0</v>
          </cell>
          <cell r="AN24">
            <v>222350</v>
          </cell>
          <cell r="AO24">
            <v>103770.89</v>
          </cell>
          <cell r="AP24">
            <v>0</v>
          </cell>
          <cell r="AQ24">
            <v>77100.650000000009</v>
          </cell>
          <cell r="AR24">
            <v>0</v>
          </cell>
          <cell r="AS24">
            <v>0</v>
          </cell>
          <cell r="AT24">
            <v>0</v>
          </cell>
          <cell r="AU24">
            <v>705250</v>
          </cell>
          <cell r="AV24">
            <v>0</v>
          </cell>
          <cell r="AW24">
            <v>222350</v>
          </cell>
        </row>
      </sheetData>
      <sheetData sheetId="14">
        <row r="4">
          <cell r="AL4">
            <v>2780220</v>
          </cell>
          <cell r="AM4">
            <v>298670</v>
          </cell>
          <cell r="AN4">
            <v>0</v>
          </cell>
          <cell r="AO4">
            <v>859442.95999999985</v>
          </cell>
          <cell r="AP4">
            <v>102112.14</v>
          </cell>
          <cell r="AQ4">
            <v>0</v>
          </cell>
          <cell r="AR4">
            <v>55000</v>
          </cell>
          <cell r="AS4">
            <v>-33005</v>
          </cell>
          <cell r="AT4">
            <v>0</v>
          </cell>
          <cell r="AU4">
            <v>2835220</v>
          </cell>
          <cell r="AV4">
            <v>265665</v>
          </cell>
          <cell r="AW4">
            <v>0</v>
          </cell>
        </row>
        <row r="102">
          <cell r="AL102">
            <v>48000</v>
          </cell>
          <cell r="AM102">
            <v>0</v>
          </cell>
          <cell r="AN102">
            <v>0</v>
          </cell>
          <cell r="AO102"/>
          <cell r="AP102"/>
          <cell r="AQ102"/>
          <cell r="AR102">
            <v>-48000</v>
          </cell>
          <cell r="AS102"/>
          <cell r="AT102"/>
          <cell r="AU102">
            <v>0</v>
          </cell>
          <cell r="AV102">
            <v>0</v>
          </cell>
          <cell r="AW102">
            <v>0</v>
          </cell>
        </row>
        <row r="103">
          <cell r="AL103">
            <v>175000</v>
          </cell>
          <cell r="AM103">
            <v>0</v>
          </cell>
          <cell r="AN103">
            <v>1075000</v>
          </cell>
          <cell r="AO103">
            <v>45647.5</v>
          </cell>
          <cell r="AP103">
            <v>0</v>
          </cell>
          <cell r="AQ103">
            <v>239825.01</v>
          </cell>
          <cell r="AR103">
            <v>-20000</v>
          </cell>
          <cell r="AS103">
            <v>0</v>
          </cell>
          <cell r="AT103">
            <v>0</v>
          </cell>
          <cell r="AU103">
            <v>155000</v>
          </cell>
          <cell r="AV103">
            <v>0</v>
          </cell>
          <cell r="AW103">
            <v>1075000</v>
          </cell>
        </row>
      </sheetData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Plánovanie, manažment a kontr"/>
      <sheetName val="2. Propagácia a marketing"/>
      <sheetName val="3.Interné služby"/>
      <sheetName val="4.Služby občanov"/>
      <sheetName val="5.Bezpečnosť, právo a por."/>
      <sheetName val="6.Odpadové hospodárstvo"/>
      <sheetName val="7.Komunikácie"/>
      <sheetName val="8.Doprava"/>
      <sheetName val="9. Vzdelávanie"/>
      <sheetName val="10. Šport"/>
      <sheetName val="11. Kultúra"/>
      <sheetName val="12. Prostredie pre život"/>
      <sheetName val="13. Sociálna starostlivosť"/>
      <sheetName val="14. Bývanie"/>
      <sheetName val="15. Administratíva"/>
      <sheetName val="List1"/>
    </sheetNames>
    <sheetDataSet>
      <sheetData sheetId="0" refreshError="1">
        <row r="5">
          <cell r="H5">
            <v>39379</v>
          </cell>
          <cell r="I5">
            <v>0</v>
          </cell>
          <cell r="J5">
            <v>0</v>
          </cell>
        </row>
        <row r="16">
          <cell r="H16">
            <v>26321</v>
          </cell>
          <cell r="I16">
            <v>0</v>
          </cell>
          <cell r="J16">
            <v>0</v>
          </cell>
        </row>
        <row r="27">
          <cell r="H27">
            <v>34932</v>
          </cell>
          <cell r="I27">
            <v>0</v>
          </cell>
          <cell r="J27">
            <v>0</v>
          </cell>
        </row>
        <row r="31">
          <cell r="H31">
            <v>0</v>
          </cell>
          <cell r="I31">
            <v>0</v>
          </cell>
          <cell r="J31">
            <v>0</v>
          </cell>
        </row>
        <row r="35">
          <cell r="H35">
            <v>2046</v>
          </cell>
          <cell r="I35">
            <v>0</v>
          </cell>
          <cell r="J35">
            <v>0</v>
          </cell>
        </row>
        <row r="47">
          <cell r="H47">
            <v>10904</v>
          </cell>
          <cell r="I47">
            <v>0</v>
          </cell>
          <cell r="J47">
            <v>0</v>
          </cell>
        </row>
        <row r="50">
          <cell r="H50">
            <v>9650</v>
          </cell>
          <cell r="I50">
            <v>22568</v>
          </cell>
          <cell r="J50">
            <v>0</v>
          </cell>
        </row>
        <row r="62">
          <cell r="H62">
            <v>44354</v>
          </cell>
          <cell r="I62">
            <v>0</v>
          </cell>
          <cell r="J62">
            <v>0</v>
          </cell>
        </row>
        <row r="72">
          <cell r="H72">
            <v>3600</v>
          </cell>
          <cell r="I72">
            <v>0</v>
          </cell>
          <cell r="J72">
            <v>0</v>
          </cell>
        </row>
        <row r="75">
          <cell r="H75">
            <v>8366</v>
          </cell>
          <cell r="I75">
            <v>0</v>
          </cell>
          <cell r="J75">
            <v>0</v>
          </cell>
        </row>
        <row r="79">
          <cell r="H79">
            <v>0</v>
          </cell>
          <cell r="I79">
            <v>0</v>
          </cell>
          <cell r="J79">
            <v>0</v>
          </cell>
        </row>
      </sheetData>
      <sheetData sheetId="1" refreshError="1">
        <row r="5">
          <cell r="H5">
            <v>130</v>
          </cell>
          <cell r="I5">
            <v>0</v>
          </cell>
          <cell r="J5">
            <v>0</v>
          </cell>
        </row>
        <row r="7">
          <cell r="H7">
            <v>1000</v>
          </cell>
          <cell r="I7">
            <v>0</v>
          </cell>
          <cell r="J7">
            <v>0</v>
          </cell>
        </row>
        <row r="11">
          <cell r="H11">
            <v>5765</v>
          </cell>
          <cell r="I11">
            <v>0</v>
          </cell>
          <cell r="J11">
            <v>0</v>
          </cell>
        </row>
        <row r="19">
          <cell r="H19">
            <v>1000</v>
          </cell>
          <cell r="I19">
            <v>0</v>
          </cell>
          <cell r="J19">
            <v>0</v>
          </cell>
        </row>
        <row r="21">
          <cell r="H21">
            <v>0</v>
          </cell>
          <cell r="I21">
            <v>0</v>
          </cell>
          <cell r="J21">
            <v>0</v>
          </cell>
        </row>
        <row r="24">
          <cell r="H24">
            <v>0</v>
          </cell>
          <cell r="I24">
            <v>0</v>
          </cell>
          <cell r="J24">
            <v>0</v>
          </cell>
        </row>
        <row r="26">
          <cell r="H26">
            <v>1480</v>
          </cell>
          <cell r="I26">
            <v>0</v>
          </cell>
          <cell r="J26">
            <v>0</v>
          </cell>
        </row>
        <row r="28">
          <cell r="H28">
            <v>0</v>
          </cell>
          <cell r="I28">
            <v>0</v>
          </cell>
          <cell r="J28">
            <v>0</v>
          </cell>
        </row>
        <row r="32">
          <cell r="H32">
            <v>3580</v>
          </cell>
          <cell r="I32">
            <v>0</v>
          </cell>
          <cell r="J32">
            <v>0</v>
          </cell>
        </row>
        <row r="54">
          <cell r="H54">
            <v>570</v>
          </cell>
        </row>
        <row r="60">
          <cell r="H60">
            <v>1000</v>
          </cell>
        </row>
      </sheetData>
      <sheetData sheetId="2" refreshError="1">
        <row r="4">
          <cell r="H4">
            <v>46864</v>
          </cell>
          <cell r="I4">
            <v>34000</v>
          </cell>
          <cell r="J4">
            <v>0</v>
          </cell>
        </row>
        <row r="31">
          <cell r="H31">
            <v>10900</v>
          </cell>
          <cell r="I31">
            <v>0</v>
          </cell>
          <cell r="J31">
            <v>0</v>
          </cell>
        </row>
        <row r="37">
          <cell r="H37">
            <v>3250</v>
          </cell>
          <cell r="I37">
            <v>0</v>
          </cell>
          <cell r="J37">
            <v>0</v>
          </cell>
        </row>
        <row r="43">
          <cell r="H43">
            <v>500</v>
          </cell>
          <cell r="I43">
            <v>0</v>
          </cell>
          <cell r="J43">
            <v>0</v>
          </cell>
        </row>
        <row r="47">
          <cell r="I47">
            <v>0</v>
          </cell>
          <cell r="J47">
            <v>0</v>
          </cell>
        </row>
        <row r="99">
          <cell r="H99">
            <v>4000</v>
          </cell>
        </row>
        <row r="101">
          <cell r="H101">
            <v>3700</v>
          </cell>
        </row>
        <row r="108">
          <cell r="H108">
            <v>1200</v>
          </cell>
        </row>
      </sheetData>
      <sheetData sheetId="3" refreshError="1">
        <row r="4">
          <cell r="H4">
            <v>15600</v>
          </cell>
          <cell r="I4">
            <v>0</v>
          </cell>
          <cell r="J4">
            <v>0</v>
          </cell>
        </row>
        <row r="18">
          <cell r="H18">
            <v>16737</v>
          </cell>
          <cell r="I18">
            <v>0</v>
          </cell>
          <cell r="J18">
            <v>0</v>
          </cell>
        </row>
        <row r="26">
          <cell r="H26">
            <v>200</v>
          </cell>
        </row>
        <row r="28">
          <cell r="H28">
            <v>10</v>
          </cell>
        </row>
      </sheetData>
      <sheetData sheetId="4" refreshError="1">
        <row r="5">
          <cell r="H5">
            <v>326718</v>
          </cell>
          <cell r="I5">
            <v>0</v>
          </cell>
          <cell r="J5">
            <v>0</v>
          </cell>
        </row>
        <row r="49">
          <cell r="H49">
            <v>67861</v>
          </cell>
          <cell r="I49">
            <v>3050</v>
          </cell>
          <cell r="J49">
            <v>0</v>
          </cell>
        </row>
        <row r="65">
          <cell r="I65">
            <v>3050</v>
          </cell>
        </row>
        <row r="66">
          <cell r="H66">
            <v>36887</v>
          </cell>
        </row>
        <row r="69">
          <cell r="H69">
            <v>37517</v>
          </cell>
          <cell r="I69">
            <v>0</v>
          </cell>
        </row>
        <row r="77">
          <cell r="H77">
            <v>0</v>
          </cell>
        </row>
        <row r="79">
          <cell r="H79">
            <v>1650</v>
          </cell>
        </row>
        <row r="94">
          <cell r="I94">
            <v>64679</v>
          </cell>
          <cell r="J94">
            <v>0</v>
          </cell>
        </row>
        <row r="95">
          <cell r="H95">
            <v>187042</v>
          </cell>
        </row>
        <row r="101">
          <cell r="H101">
            <v>74900</v>
          </cell>
        </row>
        <row r="102">
          <cell r="I102">
            <v>0</v>
          </cell>
          <cell r="J102">
            <v>0</v>
          </cell>
        </row>
        <row r="105">
          <cell r="I105">
            <v>0</v>
          </cell>
          <cell r="J105">
            <v>0</v>
          </cell>
        </row>
        <row r="109">
          <cell r="I109">
            <v>0</v>
          </cell>
          <cell r="J109">
            <v>0</v>
          </cell>
        </row>
        <row r="110">
          <cell r="H110">
            <v>1300</v>
          </cell>
        </row>
        <row r="111">
          <cell r="I111">
            <v>0</v>
          </cell>
          <cell r="J111">
            <v>0</v>
          </cell>
        </row>
      </sheetData>
      <sheetData sheetId="5" refreshError="1">
        <row r="5">
          <cell r="H5">
            <v>850</v>
          </cell>
          <cell r="I5">
            <v>5200</v>
          </cell>
          <cell r="J5">
            <v>0</v>
          </cell>
        </row>
        <row r="10">
          <cell r="H10">
            <v>558000</v>
          </cell>
          <cell r="I10">
            <v>0</v>
          </cell>
          <cell r="J10">
            <v>0</v>
          </cell>
        </row>
        <row r="15">
          <cell r="H15">
            <v>86950</v>
          </cell>
          <cell r="I15">
            <v>0</v>
          </cell>
          <cell r="J15">
            <v>0</v>
          </cell>
        </row>
        <row r="18">
          <cell r="H18">
            <v>13700</v>
          </cell>
          <cell r="I18">
            <v>0</v>
          </cell>
          <cell r="J18">
            <v>0</v>
          </cell>
        </row>
        <row r="20">
          <cell r="H20">
            <v>84350</v>
          </cell>
          <cell r="I20">
            <v>0</v>
          </cell>
          <cell r="J20">
            <v>0</v>
          </cell>
        </row>
      </sheetData>
      <sheetData sheetId="6" refreshError="1">
        <row r="5">
          <cell r="H5">
            <v>0</v>
          </cell>
          <cell r="I5">
            <v>0</v>
          </cell>
          <cell r="J5">
            <v>0</v>
          </cell>
        </row>
        <row r="7">
          <cell r="H7">
            <v>91205</v>
          </cell>
          <cell r="I7">
            <v>8850</v>
          </cell>
          <cell r="J7">
            <v>393048</v>
          </cell>
        </row>
        <row r="21">
          <cell r="H21">
            <v>79000</v>
          </cell>
          <cell r="I21">
            <v>0</v>
          </cell>
          <cell r="J21">
            <v>0</v>
          </cell>
        </row>
        <row r="24">
          <cell r="H24">
            <v>82000</v>
          </cell>
          <cell r="I24">
            <v>0</v>
          </cell>
          <cell r="J24">
            <v>0</v>
          </cell>
        </row>
        <row r="27">
          <cell r="H27">
            <v>96150</v>
          </cell>
          <cell r="I27">
            <v>0</v>
          </cell>
          <cell r="J27">
            <v>0</v>
          </cell>
        </row>
        <row r="31">
          <cell r="H31">
            <v>10350</v>
          </cell>
          <cell r="I31">
            <v>0</v>
          </cell>
          <cell r="J31">
            <v>0</v>
          </cell>
        </row>
        <row r="35">
          <cell r="H35">
            <v>10000</v>
          </cell>
          <cell r="I35">
            <v>0</v>
          </cell>
          <cell r="J35">
            <v>0</v>
          </cell>
        </row>
        <row r="39">
          <cell r="H39">
            <v>0</v>
          </cell>
          <cell r="I39">
            <v>120000</v>
          </cell>
          <cell r="J39">
            <v>0</v>
          </cell>
        </row>
        <row r="41">
          <cell r="H41">
            <v>9000</v>
          </cell>
          <cell r="I41">
            <v>0</v>
          </cell>
          <cell r="J41">
            <v>0</v>
          </cell>
        </row>
        <row r="44">
          <cell r="H44">
            <v>0</v>
          </cell>
          <cell r="I44">
            <v>0</v>
          </cell>
          <cell r="J44">
            <v>0</v>
          </cell>
        </row>
        <row r="47">
          <cell r="H47">
            <v>0</v>
          </cell>
          <cell r="I47">
            <v>0</v>
          </cell>
          <cell r="J47">
            <v>0</v>
          </cell>
        </row>
      </sheetData>
      <sheetData sheetId="7" refreshError="1">
        <row r="4">
          <cell r="H4">
            <v>71000</v>
          </cell>
          <cell r="I4">
            <v>0</v>
          </cell>
          <cell r="J4">
            <v>0</v>
          </cell>
        </row>
        <row r="7">
          <cell r="H7">
            <v>2850</v>
          </cell>
          <cell r="I7">
            <v>0</v>
          </cell>
          <cell r="J7">
            <v>0</v>
          </cell>
        </row>
      </sheetData>
      <sheetData sheetId="8" refreshError="1">
        <row r="4">
          <cell r="H4">
            <v>4292</v>
          </cell>
          <cell r="I4">
            <v>0</v>
          </cell>
          <cell r="J4">
            <v>0</v>
          </cell>
        </row>
        <row r="35">
          <cell r="I35">
            <v>0</v>
          </cell>
          <cell r="J35">
            <v>0</v>
          </cell>
        </row>
        <row r="38">
          <cell r="H38">
            <v>0</v>
          </cell>
          <cell r="I38">
            <v>0</v>
          </cell>
        </row>
        <row r="40">
          <cell r="I40">
            <v>0</v>
          </cell>
          <cell r="J40">
            <v>0</v>
          </cell>
        </row>
        <row r="48">
          <cell r="I48">
            <v>0</v>
          </cell>
          <cell r="J48">
            <v>231586</v>
          </cell>
        </row>
        <row r="54">
          <cell r="I54">
            <v>4320</v>
          </cell>
        </row>
        <row r="55">
          <cell r="J55">
            <v>0</v>
          </cell>
        </row>
        <row r="61">
          <cell r="H61">
            <v>212760</v>
          </cell>
          <cell r="I61">
            <v>0</v>
          </cell>
          <cell r="J61">
            <v>0</v>
          </cell>
        </row>
        <row r="72">
          <cell r="H72">
            <v>243590</v>
          </cell>
        </row>
        <row r="73">
          <cell r="H73">
            <v>0</v>
          </cell>
          <cell r="I73">
            <v>0</v>
          </cell>
          <cell r="J73">
            <v>0</v>
          </cell>
        </row>
      </sheetData>
      <sheetData sheetId="9" refreshError="1">
        <row r="4">
          <cell r="H4">
            <v>500</v>
          </cell>
          <cell r="I4">
            <v>0</v>
          </cell>
          <cell r="J4">
            <v>0</v>
          </cell>
        </row>
        <row r="9">
          <cell r="H9">
            <v>42170</v>
          </cell>
          <cell r="I9">
            <v>0</v>
          </cell>
          <cell r="J9">
            <v>0</v>
          </cell>
        </row>
        <row r="23">
          <cell r="H23">
            <v>45954</v>
          </cell>
          <cell r="I23">
            <v>0</v>
          </cell>
          <cell r="J23">
            <v>0</v>
          </cell>
        </row>
        <row r="36">
          <cell r="H36">
            <v>18820</v>
          </cell>
          <cell r="I36">
            <v>0</v>
          </cell>
          <cell r="J36">
            <v>0</v>
          </cell>
        </row>
        <row r="44">
          <cell r="I44">
            <v>0</v>
          </cell>
          <cell r="J44">
            <v>0</v>
          </cell>
        </row>
        <row r="57">
          <cell r="H57">
            <v>1900</v>
          </cell>
          <cell r="I57">
            <v>0</v>
          </cell>
          <cell r="J57">
            <v>0</v>
          </cell>
        </row>
        <row r="63">
          <cell r="I63">
            <v>0</v>
          </cell>
          <cell r="J63">
            <v>0</v>
          </cell>
        </row>
      </sheetData>
      <sheetData sheetId="10" refreshError="1">
        <row r="4">
          <cell r="H4">
            <v>2940</v>
          </cell>
          <cell r="I4">
            <v>0</v>
          </cell>
          <cell r="J4">
            <v>0</v>
          </cell>
        </row>
        <row r="24">
          <cell r="H24">
            <v>109400</v>
          </cell>
          <cell r="I24">
            <v>0</v>
          </cell>
          <cell r="J24">
            <v>0</v>
          </cell>
        </row>
        <row r="30">
          <cell r="H30">
            <v>2355</v>
          </cell>
          <cell r="I30">
            <v>0</v>
          </cell>
          <cell r="J30">
            <v>0</v>
          </cell>
        </row>
        <row r="43">
          <cell r="H43">
            <v>306185</v>
          </cell>
          <cell r="I43">
            <v>65088</v>
          </cell>
          <cell r="J43">
            <v>0</v>
          </cell>
        </row>
        <row r="156">
          <cell r="H156">
            <v>300</v>
          </cell>
        </row>
      </sheetData>
      <sheetData sheetId="11" refreshError="1">
        <row r="5">
          <cell r="H5">
            <v>117930</v>
          </cell>
          <cell r="I5">
            <v>0</v>
          </cell>
          <cell r="J5">
            <v>0</v>
          </cell>
        </row>
        <row r="19">
          <cell r="H19">
            <v>450</v>
          </cell>
          <cell r="I19">
            <v>0</v>
          </cell>
          <cell r="J19">
            <v>0</v>
          </cell>
        </row>
        <row r="21">
          <cell r="H21">
            <v>151902</v>
          </cell>
          <cell r="I21">
            <v>1921299</v>
          </cell>
          <cell r="J21">
            <v>0</v>
          </cell>
        </row>
        <row r="39">
          <cell r="H39">
            <v>2850</v>
          </cell>
          <cell r="I39">
            <v>0</v>
          </cell>
          <cell r="J39">
            <v>0</v>
          </cell>
        </row>
        <row r="45">
          <cell r="H45">
            <v>1825</v>
          </cell>
          <cell r="I45">
            <v>0</v>
          </cell>
          <cell r="J45">
            <v>0</v>
          </cell>
        </row>
        <row r="48">
          <cell r="H48">
            <v>6840</v>
          </cell>
          <cell r="I48">
            <v>7000</v>
          </cell>
          <cell r="J48">
            <v>0</v>
          </cell>
        </row>
        <row r="60">
          <cell r="H60">
            <v>75</v>
          </cell>
          <cell r="I60">
            <v>0</v>
          </cell>
          <cell r="J60">
            <v>0</v>
          </cell>
        </row>
        <row r="62">
          <cell r="H62">
            <v>19460</v>
          </cell>
          <cell r="I62">
            <v>0</v>
          </cell>
          <cell r="J62">
            <v>0</v>
          </cell>
        </row>
        <row r="69">
          <cell r="H69">
            <v>28950</v>
          </cell>
          <cell r="I69">
            <v>8480</v>
          </cell>
          <cell r="J69">
            <v>0</v>
          </cell>
        </row>
        <row r="98">
          <cell r="H98">
            <v>0</v>
          </cell>
          <cell r="I98">
            <v>0</v>
          </cell>
          <cell r="J98">
            <v>0</v>
          </cell>
        </row>
      </sheetData>
      <sheetData sheetId="12" refreshError="1">
        <row r="5">
          <cell r="H5">
            <v>0</v>
          </cell>
          <cell r="I5">
            <v>0</v>
          </cell>
        </row>
        <row r="7">
          <cell r="H7">
            <v>0</v>
          </cell>
        </row>
        <row r="8">
          <cell r="H8">
            <v>2000</v>
          </cell>
          <cell r="I8">
            <v>0</v>
          </cell>
          <cell r="J8">
            <v>0</v>
          </cell>
        </row>
        <row r="11">
          <cell r="H11">
            <v>155</v>
          </cell>
          <cell r="I11">
            <v>0</v>
          </cell>
          <cell r="J11">
            <v>0</v>
          </cell>
        </row>
        <row r="17">
          <cell r="H17">
            <v>0</v>
          </cell>
        </row>
        <row r="18">
          <cell r="H18">
            <v>7695</v>
          </cell>
          <cell r="I18">
            <v>0</v>
          </cell>
          <cell r="J18">
            <v>0</v>
          </cell>
        </row>
        <row r="20">
          <cell r="H20">
            <v>0</v>
          </cell>
        </row>
        <row r="22">
          <cell r="H22">
            <v>0</v>
          </cell>
        </row>
        <row r="24">
          <cell r="H24">
            <v>0</v>
          </cell>
        </row>
        <row r="25">
          <cell r="H25">
            <v>0</v>
          </cell>
          <cell r="I25">
            <v>2032610</v>
          </cell>
          <cell r="J25">
            <v>0</v>
          </cell>
        </row>
        <row r="38">
          <cell r="H38">
            <v>0</v>
          </cell>
          <cell r="I38">
            <v>0</v>
          </cell>
          <cell r="J38">
            <v>0</v>
          </cell>
        </row>
        <row r="41">
          <cell r="H41">
            <v>0</v>
          </cell>
          <cell r="I41">
            <v>0</v>
          </cell>
          <cell r="J41">
            <v>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16468</v>
          </cell>
          <cell r="I45">
            <v>0</v>
          </cell>
          <cell r="J45">
            <v>0</v>
          </cell>
        </row>
        <row r="54">
          <cell r="H54">
            <v>150</v>
          </cell>
        </row>
        <row r="75">
          <cell r="H75">
            <v>1300</v>
          </cell>
        </row>
      </sheetData>
      <sheetData sheetId="13" refreshError="1">
        <row r="18">
          <cell r="H18">
            <v>329843</v>
          </cell>
          <cell r="I18">
            <v>0</v>
          </cell>
          <cell r="J18">
            <v>121080</v>
          </cell>
        </row>
      </sheetData>
      <sheetData sheetId="14" refreshError="1">
        <row r="4">
          <cell r="E4">
            <v>1132570.5700000003</v>
          </cell>
          <cell r="I4">
            <v>0</v>
          </cell>
          <cell r="J4">
            <v>0</v>
          </cell>
        </row>
        <row r="89">
          <cell r="H89">
            <v>1343</v>
          </cell>
        </row>
      </sheetData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Plánovanie, manažment a kontr"/>
      <sheetName val="2. Propagácia a marketing"/>
      <sheetName val="3.Interné služby"/>
      <sheetName val="4.Služby občanov"/>
      <sheetName val="5.Bezpečnosť, právo a por."/>
      <sheetName val="6.Odpadové hospodárstvo"/>
      <sheetName val="7.Komunikácie"/>
      <sheetName val="8.Doprava"/>
      <sheetName val="9. Vzdelávanie"/>
      <sheetName val="10. Šport"/>
      <sheetName val="11. Kultúra"/>
      <sheetName val="12. Prostredie pre život"/>
      <sheetName val="13. Sociálna starostlivosť"/>
      <sheetName val="14. Bývanie"/>
      <sheetName val="15. Administratíva"/>
      <sheetName val="programy spolu"/>
      <sheetName val="Hárok1"/>
    </sheetNames>
    <sheetDataSet>
      <sheetData sheetId="0">
        <row r="5">
          <cell r="H5">
            <v>43061.19</v>
          </cell>
        </row>
      </sheetData>
      <sheetData sheetId="1">
        <row r="5">
          <cell r="H5">
            <v>99</v>
          </cell>
        </row>
      </sheetData>
      <sheetData sheetId="2">
        <row r="4">
          <cell r="H4">
            <v>56429.399999999994</v>
          </cell>
        </row>
        <row r="19">
          <cell r="Q19">
            <v>5000</v>
          </cell>
        </row>
      </sheetData>
      <sheetData sheetId="3">
        <row r="4">
          <cell r="H4">
            <v>13064.17</v>
          </cell>
        </row>
      </sheetData>
      <sheetData sheetId="4">
        <row r="5">
          <cell r="H5">
            <v>353683.45</v>
          </cell>
        </row>
      </sheetData>
      <sheetData sheetId="5">
        <row r="5">
          <cell r="H5">
            <v>302.08999999999997</v>
          </cell>
        </row>
      </sheetData>
      <sheetData sheetId="6">
        <row r="5">
          <cell r="H5">
            <v>0</v>
          </cell>
        </row>
      </sheetData>
      <sheetData sheetId="7">
        <row r="4">
          <cell r="H4">
            <v>81285.240000000005</v>
          </cell>
        </row>
      </sheetData>
      <sheetData sheetId="8">
        <row r="4">
          <cell r="H4">
            <v>2993.4500000000003</v>
          </cell>
        </row>
        <row r="9">
          <cell r="Q9">
            <v>1431</v>
          </cell>
        </row>
        <row r="18">
          <cell r="Q18">
            <v>1479615</v>
          </cell>
        </row>
        <row r="19">
          <cell r="Q19">
            <v>147030</v>
          </cell>
        </row>
        <row r="22">
          <cell r="Q22">
            <v>84028</v>
          </cell>
        </row>
        <row r="25">
          <cell r="Q25">
            <v>185514</v>
          </cell>
        </row>
        <row r="26">
          <cell r="Q26">
            <v>33520</v>
          </cell>
        </row>
        <row r="27">
          <cell r="Q27">
            <v>3786847</v>
          </cell>
        </row>
        <row r="36">
          <cell r="Q36">
            <v>0</v>
          </cell>
        </row>
        <row r="37">
          <cell r="Q37">
            <v>1055759</v>
          </cell>
        </row>
        <row r="38">
          <cell r="Q38">
            <v>0</v>
          </cell>
          <cell r="R38">
            <v>0</v>
          </cell>
        </row>
        <row r="46">
          <cell r="Q46">
            <v>403289</v>
          </cell>
        </row>
      </sheetData>
      <sheetData sheetId="9">
        <row r="4">
          <cell r="H4">
            <v>508.3</v>
          </cell>
        </row>
        <row r="38">
          <cell r="Q38">
            <v>16800</v>
          </cell>
        </row>
        <row r="56">
          <cell r="Q56">
            <v>12000</v>
          </cell>
        </row>
      </sheetData>
      <sheetData sheetId="10">
        <row r="4">
          <cell r="H4">
            <v>3906.37</v>
          </cell>
        </row>
      </sheetData>
      <sheetData sheetId="11">
        <row r="5">
          <cell r="H5">
            <v>118014.66</v>
          </cell>
        </row>
      </sheetData>
      <sheetData sheetId="12">
        <row r="5">
          <cell r="H5">
            <v>0</v>
          </cell>
        </row>
      </sheetData>
      <sheetData sheetId="13">
        <row r="22">
          <cell r="H22">
            <v>305017.27</v>
          </cell>
        </row>
      </sheetData>
      <sheetData sheetId="14">
        <row r="4">
          <cell r="H4">
            <v>1213529.68</v>
          </cell>
          <cell r="Q4">
            <v>1303806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42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132" sqref="A132"/>
    </sheetView>
  </sheetViews>
  <sheetFormatPr defaultRowHeight="15" x14ac:dyDescent="0.25"/>
  <cols>
    <col min="1" max="1" width="67.85546875" style="319" customWidth="1"/>
    <col min="2" max="3" width="24.28515625" style="701" customWidth="1"/>
    <col min="4" max="5" width="24.28515625" style="640" customWidth="1"/>
    <col min="6" max="6" width="24.28515625" style="701" customWidth="1"/>
    <col min="7" max="8" width="24.28515625" style="640" customWidth="1"/>
    <col min="9" max="9" width="16.140625" bestFit="1" customWidth="1"/>
    <col min="10" max="10" width="10.28515625" bestFit="1" customWidth="1"/>
  </cols>
  <sheetData>
    <row r="1" spans="1:16" ht="28.5" customHeight="1" thickBot="1" x14ac:dyDescent="0.45">
      <c r="A1" s="815" t="s">
        <v>751</v>
      </c>
      <c r="B1" s="815"/>
      <c r="C1" s="815"/>
      <c r="D1" s="815"/>
      <c r="E1" s="815"/>
      <c r="F1" s="815"/>
      <c r="G1" s="815"/>
      <c r="H1" s="815"/>
    </row>
    <row r="2" spans="1:16" ht="55.5" thickBot="1" x14ac:dyDescent="0.35">
      <c r="A2" s="304" t="s">
        <v>404</v>
      </c>
      <c r="B2" s="367" t="s">
        <v>623</v>
      </c>
      <c r="C2" s="367" t="s">
        <v>637</v>
      </c>
      <c r="D2" s="251" t="s">
        <v>654</v>
      </c>
      <c r="E2" s="251" t="s">
        <v>723</v>
      </c>
      <c r="F2" s="367" t="s">
        <v>724</v>
      </c>
      <c r="G2" s="251" t="s">
        <v>725</v>
      </c>
      <c r="H2" s="251" t="s">
        <v>726</v>
      </c>
    </row>
    <row r="3" spans="1:16" ht="18.75" thickBot="1" x14ac:dyDescent="0.3">
      <c r="A3" s="305" t="s">
        <v>406</v>
      </c>
      <c r="B3" s="368">
        <f>B4+B18</f>
        <v>26547660.909999996</v>
      </c>
      <c r="C3" s="368">
        <f t="shared" ref="C3:D3" si="0">C4+C18</f>
        <v>28470275.990000002</v>
      </c>
      <c r="D3" s="306">
        <f t="shared" si="0"/>
        <v>30986180</v>
      </c>
      <c r="E3" s="306">
        <v>31100980</v>
      </c>
      <c r="F3" s="368">
        <f>F4+F18</f>
        <v>10966803.09</v>
      </c>
      <c r="G3" s="306">
        <f>G4+G18</f>
        <v>172079</v>
      </c>
      <c r="H3" s="306">
        <f t="shared" ref="H3:H10" si="1">E3+G3</f>
        <v>31273059</v>
      </c>
      <c r="I3" s="689"/>
    </row>
    <row r="4" spans="1:16" ht="18" x14ac:dyDescent="0.25">
      <c r="A4" s="307" t="s">
        <v>5</v>
      </c>
      <c r="B4" s="369">
        <f t="shared" ref="B4:D4" si="2">B5+B7+B9</f>
        <v>12446823.950000001</v>
      </c>
      <c r="C4" s="369">
        <f t="shared" si="2"/>
        <v>11711263.68</v>
      </c>
      <c r="D4" s="308">
        <f t="shared" si="2"/>
        <v>12470000</v>
      </c>
      <c r="E4" s="308">
        <v>12470000</v>
      </c>
      <c r="F4" s="369">
        <f>F5+F7+F9</f>
        <v>4971537.3499999996</v>
      </c>
      <c r="G4" s="308">
        <f>G5+G7+G9</f>
        <v>0</v>
      </c>
      <c r="H4" s="308">
        <f t="shared" si="1"/>
        <v>12470000</v>
      </c>
      <c r="I4" s="688"/>
    </row>
    <row r="5" spans="1:16" ht="15.75" x14ac:dyDescent="0.25">
      <c r="A5" s="309" t="s">
        <v>6</v>
      </c>
      <c r="B5" s="370">
        <f t="shared" ref="B5:D5" si="3">SUM(B6)</f>
        <v>9736601.2599999998</v>
      </c>
      <c r="C5" s="370">
        <f t="shared" si="3"/>
        <v>7963498.3499999996</v>
      </c>
      <c r="D5" s="262">
        <f t="shared" si="3"/>
        <v>8620000</v>
      </c>
      <c r="E5" s="262">
        <v>8620000</v>
      </c>
      <c r="F5" s="370">
        <f>SUM(F6)</f>
        <v>3393330.76</v>
      </c>
      <c r="G5" s="262">
        <f>SUM(G6)</f>
        <v>0</v>
      </c>
      <c r="H5" s="262">
        <f t="shared" si="1"/>
        <v>8620000</v>
      </c>
      <c r="I5" s="637"/>
      <c r="J5" s="638"/>
      <c r="K5" s="638"/>
      <c r="L5" s="638"/>
      <c r="M5" s="638"/>
      <c r="N5" s="638"/>
      <c r="O5" s="638"/>
      <c r="P5" s="638"/>
    </row>
    <row r="6" spans="1:16" ht="15.75" x14ac:dyDescent="0.25">
      <c r="A6" s="310" t="s">
        <v>7</v>
      </c>
      <c r="B6" s="372">
        <v>9736601.2599999998</v>
      </c>
      <c r="C6" s="372">
        <v>7963498.3499999996</v>
      </c>
      <c r="D6" s="315">
        <v>8620000</v>
      </c>
      <c r="E6" s="315">
        <v>8620000</v>
      </c>
      <c r="F6" s="372">
        <v>3393330.76</v>
      </c>
      <c r="G6" s="315"/>
      <c r="H6" s="315">
        <f t="shared" si="1"/>
        <v>8620000</v>
      </c>
    </row>
    <row r="7" spans="1:16" ht="15.75" x14ac:dyDescent="0.25">
      <c r="A7" s="311" t="s">
        <v>8</v>
      </c>
      <c r="B7" s="370">
        <f t="shared" ref="B7:D7" si="4">SUM(B8)</f>
        <v>1574996.29</v>
      </c>
      <c r="C7" s="370">
        <f t="shared" si="4"/>
        <v>1915781.59</v>
      </c>
      <c r="D7" s="262">
        <f t="shared" si="4"/>
        <v>1900000</v>
      </c>
      <c r="E7" s="262">
        <v>1900000</v>
      </c>
      <c r="F7" s="370">
        <f>SUM(F8)</f>
        <v>780900.71</v>
      </c>
      <c r="G7" s="262">
        <f>SUM(G8)</f>
        <v>0</v>
      </c>
      <c r="H7" s="262">
        <f t="shared" si="1"/>
        <v>1900000</v>
      </c>
    </row>
    <row r="8" spans="1:16" ht="15.75" x14ac:dyDescent="0.25">
      <c r="A8" s="312" t="s">
        <v>9</v>
      </c>
      <c r="B8" s="372">
        <v>1574996.29</v>
      </c>
      <c r="C8" s="372">
        <v>1915781.59</v>
      </c>
      <c r="D8" s="315">
        <v>1900000</v>
      </c>
      <c r="E8" s="315">
        <v>1900000</v>
      </c>
      <c r="F8" s="372">
        <v>780900.71</v>
      </c>
      <c r="G8" s="315"/>
      <c r="H8" s="315">
        <f t="shared" si="1"/>
        <v>1900000</v>
      </c>
      <c r="I8" s="647"/>
    </row>
    <row r="9" spans="1:16" ht="15.75" x14ac:dyDescent="0.25">
      <c r="A9" s="311" t="s">
        <v>10</v>
      </c>
      <c r="B9" s="370">
        <f t="shared" ref="B9:D9" si="5">SUM(B10:B17)</f>
        <v>1135226.4000000001</v>
      </c>
      <c r="C9" s="370">
        <f t="shared" si="5"/>
        <v>1831983.7399999998</v>
      </c>
      <c r="D9" s="262">
        <f t="shared" si="5"/>
        <v>1950000</v>
      </c>
      <c r="E9" s="262">
        <v>1950000</v>
      </c>
      <c r="F9" s="370">
        <f>SUM(F10:F17)</f>
        <v>797305.88</v>
      </c>
      <c r="G9" s="262">
        <f>SUM(G10:G17)</f>
        <v>0</v>
      </c>
      <c r="H9" s="262">
        <f t="shared" si="1"/>
        <v>1950000</v>
      </c>
    </row>
    <row r="10" spans="1:16" ht="15.75" x14ac:dyDescent="0.25">
      <c r="A10" s="313" t="s">
        <v>11</v>
      </c>
      <c r="B10" s="699">
        <v>19154.080000000002</v>
      </c>
      <c r="C10" s="699">
        <v>18305.93</v>
      </c>
      <c r="D10" s="419">
        <v>20000</v>
      </c>
      <c r="E10" s="419">
        <v>20000</v>
      </c>
      <c r="F10" s="699">
        <v>8427.0499999999993</v>
      </c>
      <c r="G10" s="419"/>
      <c r="H10" s="419">
        <f t="shared" si="1"/>
        <v>20000</v>
      </c>
      <c r="I10" s="646"/>
    </row>
    <row r="11" spans="1:16" ht="15.75" x14ac:dyDescent="0.25">
      <c r="A11" s="313" t="s">
        <v>647</v>
      </c>
      <c r="B11" s="699"/>
      <c r="C11" s="699">
        <f>166.66+1774.99</f>
        <v>1941.65</v>
      </c>
      <c r="D11" s="419">
        <v>5000</v>
      </c>
      <c r="E11" s="419">
        <v>5000</v>
      </c>
      <c r="F11" s="699">
        <v>1300</v>
      </c>
      <c r="G11" s="419"/>
      <c r="H11" s="419">
        <f t="shared" ref="H11:H17" si="6">E11+G11</f>
        <v>5000</v>
      </c>
    </row>
    <row r="12" spans="1:16" ht="15.75" x14ac:dyDescent="0.25">
      <c r="A12" s="313" t="s">
        <v>428</v>
      </c>
      <c r="B12" s="699">
        <v>18863.8</v>
      </c>
      <c r="C12" s="699">
        <v>27292.2</v>
      </c>
      <c r="D12" s="419">
        <v>30000</v>
      </c>
      <c r="E12" s="419">
        <v>30000</v>
      </c>
      <c r="F12" s="699">
        <v>12498</v>
      </c>
      <c r="G12" s="419"/>
      <c r="H12" s="419">
        <f t="shared" si="6"/>
        <v>30000</v>
      </c>
      <c r="I12" s="646"/>
    </row>
    <row r="13" spans="1:16" ht="15.75" x14ac:dyDescent="0.25">
      <c r="A13" s="313" t="s">
        <v>12</v>
      </c>
      <c r="B13" s="699">
        <v>152222.14000000001</v>
      </c>
      <c r="C13" s="699">
        <v>152188.72</v>
      </c>
      <c r="D13" s="419">
        <v>195000</v>
      </c>
      <c r="E13" s="419">
        <v>195000</v>
      </c>
      <c r="F13" s="699">
        <v>97815.11</v>
      </c>
      <c r="G13" s="419"/>
      <c r="H13" s="419">
        <f t="shared" si="6"/>
        <v>195000</v>
      </c>
      <c r="I13" s="646"/>
    </row>
    <row r="14" spans="1:16" ht="15.75" x14ac:dyDescent="0.25">
      <c r="A14" s="313" t="s">
        <v>13</v>
      </c>
      <c r="B14" s="699">
        <v>10227.01</v>
      </c>
      <c r="C14" s="699">
        <v>9712.2199999999993</v>
      </c>
      <c r="D14" s="419">
        <v>20000</v>
      </c>
      <c r="E14" s="419">
        <v>20000</v>
      </c>
      <c r="F14" s="699">
        <v>2353.75</v>
      </c>
      <c r="G14" s="419"/>
      <c r="H14" s="419">
        <f t="shared" si="6"/>
        <v>20000</v>
      </c>
      <c r="I14" s="646"/>
    </row>
    <row r="15" spans="1:16" ht="15.75" x14ac:dyDescent="0.25">
      <c r="A15" s="313" t="s">
        <v>14</v>
      </c>
      <c r="B15" s="699">
        <v>674779.16</v>
      </c>
      <c r="C15" s="699">
        <v>1108131.2</v>
      </c>
      <c r="D15" s="419">
        <v>1050000</v>
      </c>
      <c r="E15" s="419">
        <v>1050000</v>
      </c>
      <c r="F15" s="699">
        <v>379595.69</v>
      </c>
      <c r="G15" s="419"/>
      <c r="H15" s="419">
        <f t="shared" si="6"/>
        <v>1050000</v>
      </c>
      <c r="I15" s="646"/>
    </row>
    <row r="16" spans="1:16" ht="15.75" x14ac:dyDescent="0.25">
      <c r="A16" s="313" t="s">
        <v>15</v>
      </c>
      <c r="B16" s="373">
        <v>202790.21</v>
      </c>
      <c r="C16" s="373">
        <v>409640.16</v>
      </c>
      <c r="D16" s="263">
        <v>550000</v>
      </c>
      <c r="E16" s="263">
        <v>550000</v>
      </c>
      <c r="F16" s="373">
        <v>266128.23</v>
      </c>
      <c r="G16" s="263"/>
      <c r="H16" s="419">
        <f t="shared" si="6"/>
        <v>550000</v>
      </c>
      <c r="I16" s="646"/>
    </row>
    <row r="17" spans="1:9" ht="15.75" x14ac:dyDescent="0.25">
      <c r="A17" s="313" t="s">
        <v>555</v>
      </c>
      <c r="B17" s="700">
        <v>57190</v>
      </c>
      <c r="C17" s="700">
        <v>104771.66</v>
      </c>
      <c r="D17" s="420">
        <v>80000</v>
      </c>
      <c r="E17" s="420">
        <v>80000</v>
      </c>
      <c r="F17" s="700">
        <v>29188.05</v>
      </c>
      <c r="G17" s="420"/>
      <c r="H17" s="419">
        <f t="shared" si="6"/>
        <v>80000</v>
      </c>
      <c r="I17" s="646"/>
    </row>
    <row r="18" spans="1:9" s="353" customFormat="1" ht="18.75" x14ac:dyDescent="0.3">
      <c r="A18" s="314" t="s">
        <v>16</v>
      </c>
      <c r="B18" s="371">
        <f>B19+B32+B55+B65</f>
        <v>14100836.959999997</v>
      </c>
      <c r="C18" s="371">
        <f>C19+C32+C55+C65</f>
        <v>16759012.310000002</v>
      </c>
      <c r="D18" s="354">
        <f>D19+D32+D55+D65</f>
        <v>18516180</v>
      </c>
      <c r="E18" s="354">
        <v>18630980</v>
      </c>
      <c r="F18" s="371">
        <f>F19+F32+F55+F65</f>
        <v>5995265.7399999993</v>
      </c>
      <c r="G18" s="354">
        <f>G19+G32+G55+G65</f>
        <v>172079</v>
      </c>
      <c r="H18" s="354">
        <f>E18+G18</f>
        <v>18803059</v>
      </c>
      <c r="I18" s="702"/>
    </row>
    <row r="19" spans="1:9" ht="15.75" x14ac:dyDescent="0.25">
      <c r="A19" s="309" t="s">
        <v>17</v>
      </c>
      <c r="B19" s="370">
        <f>SUM(B20:B31)</f>
        <v>1242841.8599999999</v>
      </c>
      <c r="C19" s="370">
        <f>SUM(C20:C31)</f>
        <v>798438.96999999986</v>
      </c>
      <c r="D19" s="262">
        <f>SUM(D20:D31)</f>
        <v>1145500</v>
      </c>
      <c r="E19" s="262">
        <v>1145500</v>
      </c>
      <c r="F19" s="370">
        <f>SUM(F20:F31)</f>
        <v>311267.71999999997</v>
      </c>
      <c r="G19" s="262">
        <f>SUM(G20:G31)</f>
        <v>1550</v>
      </c>
      <c r="H19" s="262">
        <f>E19+G19</f>
        <v>1147050</v>
      </c>
    </row>
    <row r="20" spans="1:9" ht="15.75" x14ac:dyDescent="0.25">
      <c r="A20" s="310" t="s">
        <v>18</v>
      </c>
      <c r="B20" s="373">
        <v>120527.48</v>
      </c>
      <c r="C20" s="373">
        <v>87557.94</v>
      </c>
      <c r="D20" s="263">
        <v>100000</v>
      </c>
      <c r="E20" s="263">
        <v>100000</v>
      </c>
      <c r="F20" s="373">
        <v>6642.79</v>
      </c>
      <c r="G20" s="263"/>
      <c r="H20" s="263">
        <f>E20+G20</f>
        <v>100000</v>
      </c>
    </row>
    <row r="21" spans="1:9" ht="15.75" x14ac:dyDescent="0.25">
      <c r="A21" s="310" t="s">
        <v>411</v>
      </c>
      <c r="B21" s="373">
        <v>22925.5</v>
      </c>
      <c r="C21" s="373">
        <v>21043.5</v>
      </c>
      <c r="D21" s="263">
        <v>30000</v>
      </c>
      <c r="E21" s="263">
        <v>30000</v>
      </c>
      <c r="F21" s="373">
        <v>4404</v>
      </c>
      <c r="G21" s="263">
        <v>1550</v>
      </c>
      <c r="H21" s="263">
        <f t="shared" ref="H21:H31" si="7">E21+G21</f>
        <v>31550</v>
      </c>
    </row>
    <row r="22" spans="1:9" s="474" customFormat="1" ht="15.75" x14ac:dyDescent="0.25">
      <c r="A22" s="313" t="s">
        <v>593</v>
      </c>
      <c r="B22" s="373">
        <f>31.55+9024.19+5500+6669.78+20760+11978.87</f>
        <v>53964.390000000007</v>
      </c>
      <c r="C22" s="373">
        <f>5500+15274.81+12611.71+4297.69+388.27+9084.36</f>
        <v>47156.84</v>
      </c>
      <c r="D22" s="263"/>
      <c r="E22" s="263">
        <v>0</v>
      </c>
      <c r="F22" s="373"/>
      <c r="G22" s="263"/>
      <c r="H22" s="263">
        <f t="shared" si="7"/>
        <v>0</v>
      </c>
    </row>
    <row r="23" spans="1:9" ht="15.75" x14ac:dyDescent="0.25">
      <c r="A23" s="310" t="s">
        <v>19</v>
      </c>
      <c r="B23" s="373">
        <v>8514.2999999999993</v>
      </c>
      <c r="C23" s="373">
        <v>8537.65</v>
      </c>
      <c r="D23" s="263">
        <v>10000</v>
      </c>
      <c r="E23" s="263">
        <v>10000</v>
      </c>
      <c r="F23" s="373">
        <v>2745.06</v>
      </c>
      <c r="G23" s="263"/>
      <c r="H23" s="263">
        <f t="shared" si="7"/>
        <v>10000</v>
      </c>
    </row>
    <row r="24" spans="1:9" ht="15.75" x14ac:dyDescent="0.25">
      <c r="A24" s="310" t="s">
        <v>20</v>
      </c>
      <c r="B24" s="373"/>
      <c r="C24" s="373">
        <v>60</v>
      </c>
      <c r="D24" s="263"/>
      <c r="E24" s="263">
        <v>0</v>
      </c>
      <c r="F24" s="373"/>
      <c r="G24" s="263"/>
      <c r="H24" s="263">
        <f t="shared" si="7"/>
        <v>0</v>
      </c>
    </row>
    <row r="25" spans="1:9" ht="15.75" x14ac:dyDescent="0.25">
      <c r="A25" s="310" t="s">
        <v>539</v>
      </c>
      <c r="B25" s="373">
        <v>885595.44</v>
      </c>
      <c r="C25" s="373">
        <v>492772.92</v>
      </c>
      <c r="D25" s="263">
        <v>850000</v>
      </c>
      <c r="E25" s="263">
        <v>850000</v>
      </c>
      <c r="F25" s="373">
        <v>242798.82</v>
      </c>
      <c r="G25" s="263"/>
      <c r="H25" s="263">
        <f t="shared" si="7"/>
        <v>850000</v>
      </c>
    </row>
    <row r="26" spans="1:9" ht="15.75" x14ac:dyDescent="0.25">
      <c r="A26" s="310" t="s">
        <v>22</v>
      </c>
      <c r="B26" s="373">
        <v>24536.560000000001</v>
      </c>
      <c r="C26" s="373">
        <v>27428.26</v>
      </c>
      <c r="D26" s="263">
        <v>30000</v>
      </c>
      <c r="E26" s="263">
        <v>30000</v>
      </c>
      <c r="F26" s="373">
        <v>8853.09</v>
      </c>
      <c r="G26" s="263"/>
      <c r="H26" s="263">
        <f t="shared" si="7"/>
        <v>30000</v>
      </c>
    </row>
    <row r="27" spans="1:9" ht="15.75" x14ac:dyDescent="0.25">
      <c r="A27" s="310" t="s">
        <v>23</v>
      </c>
      <c r="B27" s="373">
        <v>9914.24</v>
      </c>
      <c r="C27" s="373">
        <v>9237.3799999999992</v>
      </c>
      <c r="D27" s="263">
        <v>10000</v>
      </c>
      <c r="E27" s="263">
        <v>10000</v>
      </c>
      <c r="F27" s="373">
        <v>3051.67</v>
      </c>
      <c r="G27" s="263"/>
      <c r="H27" s="263">
        <f t="shared" si="7"/>
        <v>10000</v>
      </c>
    </row>
    <row r="28" spans="1:9" ht="15.75" x14ac:dyDescent="0.25">
      <c r="A28" s="310" t="s">
        <v>24</v>
      </c>
      <c r="B28" s="373">
        <v>5462.72</v>
      </c>
      <c r="C28" s="373">
        <v>5682.72</v>
      </c>
      <c r="D28" s="263">
        <v>5500</v>
      </c>
      <c r="E28" s="263">
        <v>5500</v>
      </c>
      <c r="F28" s="373">
        <v>2054.2399999999998</v>
      </c>
      <c r="G28" s="263"/>
      <c r="H28" s="263">
        <f t="shared" si="7"/>
        <v>5500</v>
      </c>
    </row>
    <row r="29" spans="1:9" ht="15.75" x14ac:dyDescent="0.25">
      <c r="A29" s="310" t="s">
        <v>25</v>
      </c>
      <c r="B29" s="373">
        <v>24209.3</v>
      </c>
      <c r="C29" s="373">
        <v>24882.2</v>
      </c>
      <c r="D29" s="263">
        <v>25000</v>
      </c>
      <c r="E29" s="263">
        <v>25000</v>
      </c>
      <c r="F29" s="373">
        <v>10867.5</v>
      </c>
      <c r="G29" s="263"/>
      <c r="H29" s="263">
        <f t="shared" si="7"/>
        <v>25000</v>
      </c>
    </row>
    <row r="30" spans="1:9" ht="15.75" x14ac:dyDescent="0.25">
      <c r="A30" s="310" t="s">
        <v>26</v>
      </c>
      <c r="B30" s="373">
        <v>53911.9</v>
      </c>
      <c r="C30" s="373">
        <v>54260.98</v>
      </c>
      <c r="D30" s="263">
        <v>55000</v>
      </c>
      <c r="E30" s="263">
        <v>55000</v>
      </c>
      <c r="F30" s="373">
        <v>16612.45</v>
      </c>
      <c r="G30" s="263"/>
      <c r="H30" s="263">
        <f t="shared" si="7"/>
        <v>55000</v>
      </c>
    </row>
    <row r="31" spans="1:9" ht="15.75" x14ac:dyDescent="0.25">
      <c r="A31" s="312" t="s">
        <v>28</v>
      </c>
      <c r="B31" s="372">
        <v>33280.03</v>
      </c>
      <c r="C31" s="372">
        <v>19818.580000000002</v>
      </c>
      <c r="D31" s="315">
        <v>30000</v>
      </c>
      <c r="E31" s="315">
        <v>30000</v>
      </c>
      <c r="F31" s="372">
        <v>13238.1</v>
      </c>
      <c r="G31" s="315"/>
      <c r="H31" s="723">
        <f t="shared" si="7"/>
        <v>30000</v>
      </c>
    </row>
    <row r="32" spans="1:9" s="345" customFormat="1" ht="15.75" x14ac:dyDescent="0.25">
      <c r="A32" s="309" t="s">
        <v>29</v>
      </c>
      <c r="B32" s="370">
        <f>SUM(B33:B54)</f>
        <v>1844219.2799999998</v>
      </c>
      <c r="C32" s="370">
        <f>SUM(C33:C54)</f>
        <v>2104994.73</v>
      </c>
      <c r="D32" s="262">
        <f>SUM(D33:D54)</f>
        <v>2669500</v>
      </c>
      <c r="E32" s="262">
        <v>2671500</v>
      </c>
      <c r="F32" s="370">
        <f>SUM(F33:F54)</f>
        <v>893171.12999999989</v>
      </c>
      <c r="G32" s="262">
        <f>SUM(G33:G54)</f>
        <v>6260</v>
      </c>
      <c r="H32" s="262">
        <f>E32+G32</f>
        <v>2677760</v>
      </c>
    </row>
    <row r="33" spans="1:8" ht="15.75" x14ac:dyDescent="0.25">
      <c r="A33" s="310" t="s">
        <v>30</v>
      </c>
      <c r="B33" s="373">
        <v>100</v>
      </c>
      <c r="C33" s="373">
        <v>200</v>
      </c>
      <c r="D33" s="263">
        <v>500</v>
      </c>
      <c r="E33" s="263">
        <v>500</v>
      </c>
      <c r="F33" s="373"/>
      <c r="G33" s="263"/>
      <c r="H33" s="263">
        <f>E33+G33</f>
        <v>500</v>
      </c>
    </row>
    <row r="34" spans="1:8" ht="15.75" x14ac:dyDescent="0.25">
      <c r="A34" s="310" t="s">
        <v>31</v>
      </c>
      <c r="B34" s="373">
        <v>35405.4</v>
      </c>
      <c r="C34" s="373">
        <v>59786.5</v>
      </c>
      <c r="D34" s="263">
        <v>53000</v>
      </c>
      <c r="E34" s="263">
        <v>53000</v>
      </c>
      <c r="F34" s="373">
        <v>10355</v>
      </c>
      <c r="G34" s="263"/>
      <c r="H34" s="263">
        <f t="shared" ref="H34:H53" si="8">E34+G34</f>
        <v>53000</v>
      </c>
    </row>
    <row r="35" spans="1:8" ht="15.75" x14ac:dyDescent="0.25">
      <c r="A35" s="310" t="s">
        <v>32</v>
      </c>
      <c r="B35" s="373">
        <v>6672.5</v>
      </c>
      <c r="C35" s="373">
        <v>5965</v>
      </c>
      <c r="D35" s="263">
        <v>7000</v>
      </c>
      <c r="E35" s="263">
        <v>7000</v>
      </c>
      <c r="F35" s="373">
        <v>1864.5</v>
      </c>
      <c r="G35" s="263"/>
      <c r="H35" s="263">
        <f t="shared" si="8"/>
        <v>7000</v>
      </c>
    </row>
    <row r="36" spans="1:8" ht="15.75" x14ac:dyDescent="0.25">
      <c r="A36" s="310" t="s">
        <v>535</v>
      </c>
      <c r="B36" s="373">
        <v>1395.5</v>
      </c>
      <c r="C36" s="373">
        <v>1232</v>
      </c>
      <c r="D36" s="263">
        <v>1500</v>
      </c>
      <c r="E36" s="263">
        <v>1500</v>
      </c>
      <c r="F36" s="373">
        <v>553</v>
      </c>
      <c r="G36" s="263"/>
      <c r="H36" s="263">
        <f t="shared" si="8"/>
        <v>1500</v>
      </c>
    </row>
    <row r="37" spans="1:8" ht="15.75" x14ac:dyDescent="0.25">
      <c r="A37" s="310" t="s">
        <v>34</v>
      </c>
      <c r="B37" s="373">
        <v>552</v>
      </c>
      <c r="C37" s="373">
        <v>550</v>
      </c>
      <c r="D37" s="263">
        <v>1000</v>
      </c>
      <c r="E37" s="263">
        <v>1000</v>
      </c>
      <c r="F37" s="373">
        <v>355</v>
      </c>
      <c r="G37" s="263"/>
      <c r="H37" s="263">
        <f t="shared" si="8"/>
        <v>1000</v>
      </c>
    </row>
    <row r="38" spans="1:8" ht="15.75" x14ac:dyDescent="0.25">
      <c r="A38" s="310" t="s">
        <v>35</v>
      </c>
      <c r="B38" s="373">
        <v>26142</v>
      </c>
      <c r="C38" s="373">
        <v>26374</v>
      </c>
      <c r="D38" s="263">
        <v>32000</v>
      </c>
      <c r="E38" s="263">
        <v>32000</v>
      </c>
      <c r="F38" s="373">
        <v>8658</v>
      </c>
      <c r="G38" s="263"/>
      <c r="H38" s="263">
        <f t="shared" si="8"/>
        <v>32000</v>
      </c>
    </row>
    <row r="39" spans="1:8" ht="15.75" x14ac:dyDescent="0.25">
      <c r="A39" s="310" t="s">
        <v>590</v>
      </c>
      <c r="B39" s="373">
        <v>45062.68</v>
      </c>
      <c r="C39" s="373">
        <v>61490.17</v>
      </c>
      <c r="D39" s="263">
        <v>70000</v>
      </c>
      <c r="E39" s="263">
        <v>70000</v>
      </c>
      <c r="F39" s="373">
        <v>19835.22</v>
      </c>
      <c r="G39" s="263"/>
      <c r="H39" s="263">
        <f t="shared" si="8"/>
        <v>70000</v>
      </c>
    </row>
    <row r="40" spans="1:8" ht="15.75" x14ac:dyDescent="0.25">
      <c r="A40" s="310" t="s">
        <v>425</v>
      </c>
      <c r="B40" s="373">
        <v>12029.15</v>
      </c>
      <c r="C40" s="373">
        <v>1131.55</v>
      </c>
      <c r="D40" s="263">
        <v>6000</v>
      </c>
      <c r="E40" s="263">
        <v>6000</v>
      </c>
      <c r="F40" s="373">
        <v>170.04</v>
      </c>
      <c r="G40" s="263"/>
      <c r="H40" s="263">
        <f t="shared" si="8"/>
        <v>6000</v>
      </c>
    </row>
    <row r="41" spans="1:8" ht="15.75" x14ac:dyDescent="0.25">
      <c r="A41" s="310" t="s">
        <v>38</v>
      </c>
      <c r="B41" s="373">
        <v>16924.14</v>
      </c>
      <c r="C41" s="373">
        <v>26359.01</v>
      </c>
      <c r="D41" s="263">
        <v>22500</v>
      </c>
      <c r="E41" s="263">
        <v>22500</v>
      </c>
      <c r="F41" s="373">
        <v>5774</v>
      </c>
      <c r="G41" s="263"/>
      <c r="H41" s="263">
        <f t="shared" si="8"/>
        <v>22500</v>
      </c>
    </row>
    <row r="42" spans="1:8" ht="15.75" x14ac:dyDescent="0.25">
      <c r="A42" s="310" t="s">
        <v>39</v>
      </c>
      <c r="B42" s="373">
        <v>4785.93</v>
      </c>
      <c r="C42" s="373">
        <v>4562.5</v>
      </c>
      <c r="D42" s="263">
        <v>5000</v>
      </c>
      <c r="E42" s="263">
        <v>5000</v>
      </c>
      <c r="F42" s="373">
        <v>2029.5</v>
      </c>
      <c r="G42" s="263"/>
      <c r="H42" s="263">
        <f t="shared" si="8"/>
        <v>5000</v>
      </c>
    </row>
    <row r="43" spans="1:8" ht="15.75" x14ac:dyDescent="0.25">
      <c r="A43" s="316" t="s">
        <v>41</v>
      </c>
      <c r="B43" s="373">
        <v>15931.47</v>
      </c>
      <c r="C43" s="373">
        <v>17047.939999999999</v>
      </c>
      <c r="D43" s="263">
        <v>16000</v>
      </c>
      <c r="E43" s="263">
        <v>16000</v>
      </c>
      <c r="F43" s="373">
        <v>8244.2199999999993</v>
      </c>
      <c r="G43" s="263"/>
      <c r="H43" s="263">
        <f t="shared" si="8"/>
        <v>16000</v>
      </c>
    </row>
    <row r="44" spans="1:8" ht="15.75" x14ac:dyDescent="0.25">
      <c r="A44" s="310" t="s">
        <v>44</v>
      </c>
      <c r="B44" s="373">
        <v>67916.58</v>
      </c>
      <c r="C44" s="373">
        <v>59843</v>
      </c>
      <c r="D44" s="263">
        <v>80000</v>
      </c>
      <c r="E44" s="263">
        <v>80000</v>
      </c>
      <c r="F44" s="373">
        <v>38977.68</v>
      </c>
      <c r="G44" s="263"/>
      <c r="H44" s="263">
        <f t="shared" si="8"/>
        <v>80000</v>
      </c>
    </row>
    <row r="45" spans="1:8" ht="15.75" x14ac:dyDescent="0.25">
      <c r="A45" s="310" t="s">
        <v>45</v>
      </c>
      <c r="B45" s="373">
        <v>77097.100000000006</v>
      </c>
      <c r="C45" s="373">
        <v>93225.88</v>
      </c>
      <c r="D45" s="263">
        <v>90000</v>
      </c>
      <c r="E45" s="263">
        <v>90000</v>
      </c>
      <c r="F45" s="373">
        <v>25254.46</v>
      </c>
      <c r="G45" s="263"/>
      <c r="H45" s="263">
        <f t="shared" si="8"/>
        <v>90000</v>
      </c>
    </row>
    <row r="46" spans="1:8" ht="15.75" x14ac:dyDescent="0.25">
      <c r="A46" s="310" t="s">
        <v>452</v>
      </c>
      <c r="B46" s="373">
        <v>5901.74</v>
      </c>
      <c r="C46" s="373">
        <v>8367.7000000000007</v>
      </c>
      <c r="D46" s="263">
        <v>24000</v>
      </c>
      <c r="E46" s="263">
        <v>24000</v>
      </c>
      <c r="F46" s="373">
        <v>10323.65</v>
      </c>
      <c r="G46" s="263"/>
      <c r="H46" s="263">
        <f t="shared" si="8"/>
        <v>24000</v>
      </c>
    </row>
    <row r="47" spans="1:8" ht="15.75" x14ac:dyDescent="0.25">
      <c r="A47" s="310" t="s">
        <v>427</v>
      </c>
      <c r="B47" s="373">
        <v>10563</v>
      </c>
      <c r="C47" s="373">
        <v>11389</v>
      </c>
      <c r="D47" s="263">
        <v>11000</v>
      </c>
      <c r="E47" s="263">
        <v>11000</v>
      </c>
      <c r="F47" s="373">
        <v>175</v>
      </c>
      <c r="G47" s="263"/>
      <c r="H47" s="263">
        <f t="shared" si="8"/>
        <v>11000</v>
      </c>
    </row>
    <row r="48" spans="1:8" ht="15.75" x14ac:dyDescent="0.25">
      <c r="A48" s="310" t="s">
        <v>51</v>
      </c>
      <c r="B48" s="373">
        <v>48627</v>
      </c>
      <c r="C48" s="373">
        <v>64689</v>
      </c>
      <c r="D48" s="263">
        <v>60000</v>
      </c>
      <c r="E48" s="263">
        <v>60000</v>
      </c>
      <c r="F48" s="373">
        <v>45624.2</v>
      </c>
      <c r="G48" s="263"/>
      <c r="H48" s="263">
        <f t="shared" si="8"/>
        <v>60000</v>
      </c>
    </row>
    <row r="49" spans="1:10" ht="15.75" x14ac:dyDescent="0.25">
      <c r="A49" s="310" t="s">
        <v>429</v>
      </c>
      <c r="B49" s="373">
        <v>464834.7</v>
      </c>
      <c r="C49" s="373">
        <v>525844.46</v>
      </c>
      <c r="D49" s="263">
        <v>570000</v>
      </c>
      <c r="E49" s="263">
        <v>570000</v>
      </c>
      <c r="F49" s="373">
        <v>179684.97</v>
      </c>
      <c r="G49" s="263"/>
      <c r="H49" s="263">
        <f t="shared" si="8"/>
        <v>570000</v>
      </c>
    </row>
    <row r="50" spans="1:10" ht="15.75" x14ac:dyDescent="0.25">
      <c r="A50" s="310" t="s">
        <v>582</v>
      </c>
      <c r="B50" s="373">
        <v>220024.48</v>
      </c>
      <c r="C50" s="373">
        <v>230523.76</v>
      </c>
      <c r="D50" s="263">
        <v>260000</v>
      </c>
      <c r="E50" s="263">
        <v>260000</v>
      </c>
      <c r="F50" s="373">
        <v>78485.03</v>
      </c>
      <c r="G50" s="263"/>
      <c r="H50" s="263">
        <f t="shared" si="8"/>
        <v>260000</v>
      </c>
    </row>
    <row r="51" spans="1:10" ht="15.75" x14ac:dyDescent="0.25">
      <c r="A51" s="310" t="s">
        <v>434</v>
      </c>
      <c r="B51" s="373">
        <v>6929</v>
      </c>
      <c r="C51" s="373">
        <v>6467.1</v>
      </c>
      <c r="D51" s="263">
        <v>10000</v>
      </c>
      <c r="E51" s="263">
        <v>10000</v>
      </c>
      <c r="F51" s="373">
        <v>1209</v>
      </c>
      <c r="G51" s="263"/>
      <c r="H51" s="263">
        <f t="shared" si="8"/>
        <v>10000</v>
      </c>
    </row>
    <row r="52" spans="1:10" s="474" customFormat="1" ht="15.75" x14ac:dyDescent="0.25">
      <c r="A52" s="313" t="s">
        <v>592</v>
      </c>
      <c r="B52" s="373">
        <f>66849.24+13650.35+17186.6+36030+18081.87+17940+18630+6613.95+3931.12+16841.03+78363+4349.05+13848+7800+16200+1488+11117.15+35654.36+13826.25+10771.2+24309.98+16877.8</f>
        <v>450358.95</v>
      </c>
      <c r="C52" s="373">
        <f>14250+15565.2+36323.35+16420+18450+19570+4950.8+14779+28800+2149.69+64309.21+8498.85+55055.44+10291.05+37297.2+18014.85+101944+64112.15</f>
        <v>530780.79</v>
      </c>
      <c r="D52" s="263">
        <f>763430+36570</f>
        <v>800000</v>
      </c>
      <c r="E52" s="263">
        <v>802000</v>
      </c>
      <c r="F52" s="373">
        <v>322458.36</v>
      </c>
      <c r="G52" s="263">
        <v>6260</v>
      </c>
      <c r="H52" s="263">
        <f t="shared" si="8"/>
        <v>808260</v>
      </c>
      <c r="I52" s="542"/>
      <c r="J52" s="542"/>
    </row>
    <row r="53" spans="1:10" s="474" customFormat="1" ht="15.75" x14ac:dyDescent="0.25">
      <c r="A53" s="313" t="s">
        <v>458</v>
      </c>
      <c r="B53" s="373">
        <f>19842.34+37539.67+50446.17+23628.65+25631.09+24063.14+20768.64+16722.3+17620.07+29962.5+60741.39</f>
        <v>326965.96000000002</v>
      </c>
      <c r="C53" s="373">
        <f>21176.2+36820.23+51873.08+24219.39+27660.65+29349.73+18472.03+25549.77+33141.62+31789.9+69112.77</f>
        <v>369165.37000000005</v>
      </c>
      <c r="D53" s="263">
        <v>550000</v>
      </c>
      <c r="E53" s="263">
        <v>550000</v>
      </c>
      <c r="F53" s="373">
        <v>133140.29999999999</v>
      </c>
      <c r="G53" s="263"/>
      <c r="H53" s="263">
        <f t="shared" si="8"/>
        <v>550000</v>
      </c>
      <c r="I53" s="542"/>
      <c r="J53" s="542"/>
    </row>
    <row r="54" spans="1:10" s="474" customFormat="1" ht="15.75" x14ac:dyDescent="0.25">
      <c r="A54" s="313" t="s">
        <v>55</v>
      </c>
      <c r="B54" s="372">
        <v>0</v>
      </c>
      <c r="C54" s="372"/>
      <c r="D54" s="315"/>
      <c r="E54" s="315">
        <v>0</v>
      </c>
      <c r="F54" s="372"/>
      <c r="G54" s="315"/>
      <c r="H54" s="723">
        <f>E54+G54</f>
        <v>0</v>
      </c>
    </row>
    <row r="55" spans="1:10" s="474" customFormat="1" ht="15.75" x14ac:dyDescent="0.25">
      <c r="A55" s="311" t="s">
        <v>578</v>
      </c>
      <c r="B55" s="370">
        <f t="shared" ref="B55:D55" si="9">SUM(B56:B64)</f>
        <v>552229.06000000006</v>
      </c>
      <c r="C55" s="370">
        <f t="shared" si="9"/>
        <v>370564.12999999995</v>
      </c>
      <c r="D55" s="262">
        <f t="shared" si="9"/>
        <v>275500</v>
      </c>
      <c r="E55" s="262">
        <v>277500</v>
      </c>
      <c r="F55" s="370">
        <f>SUM(F56:F64)</f>
        <v>142098.66000000003</v>
      </c>
      <c r="G55" s="262">
        <f>SUM(G56:G64)</f>
        <v>40000</v>
      </c>
      <c r="H55" s="262">
        <f>E55+G55</f>
        <v>317500</v>
      </c>
    </row>
    <row r="56" spans="1:10" s="474" customFormat="1" ht="15.75" x14ac:dyDescent="0.25">
      <c r="A56" s="313" t="s">
        <v>433</v>
      </c>
      <c r="B56" s="373">
        <v>146809.06</v>
      </c>
      <c r="C56" s="373">
        <v>97587.12</v>
      </c>
      <c r="D56" s="263">
        <v>80000</v>
      </c>
      <c r="E56" s="263">
        <v>80000</v>
      </c>
      <c r="F56" s="373">
        <v>44007.83</v>
      </c>
      <c r="G56" s="263"/>
      <c r="H56" s="263">
        <f>E56+G56</f>
        <v>80000</v>
      </c>
    </row>
    <row r="57" spans="1:10" s="474" customFormat="1" ht="15.75" x14ac:dyDescent="0.25">
      <c r="A57" s="313" t="s">
        <v>536</v>
      </c>
      <c r="B57" s="373">
        <v>9910.69</v>
      </c>
      <c r="C57" s="373">
        <v>2724.16</v>
      </c>
      <c r="D57" s="263">
        <v>10000</v>
      </c>
      <c r="E57" s="263">
        <v>10000</v>
      </c>
      <c r="F57" s="373">
        <v>703.83</v>
      </c>
      <c r="G57" s="263"/>
      <c r="H57" s="263">
        <f t="shared" ref="H57:H64" si="10">E57+G57</f>
        <v>10000</v>
      </c>
    </row>
    <row r="58" spans="1:10" s="474" customFormat="1" ht="15.75" x14ac:dyDescent="0.25">
      <c r="A58" s="313" t="s">
        <v>426</v>
      </c>
      <c r="B58" s="373">
        <v>157006.64000000001</v>
      </c>
      <c r="C58" s="373">
        <v>60826.69</v>
      </c>
      <c r="D58" s="263">
        <v>20000</v>
      </c>
      <c r="E58" s="263">
        <v>20000</v>
      </c>
      <c r="F58" s="373">
        <v>44123.040000000001</v>
      </c>
      <c r="G58" s="263">
        <v>40000</v>
      </c>
      <c r="H58" s="263">
        <f t="shared" si="10"/>
        <v>60000</v>
      </c>
    </row>
    <row r="59" spans="1:10" s="474" customFormat="1" ht="15.75" x14ac:dyDescent="0.25">
      <c r="A59" s="313" t="s">
        <v>453</v>
      </c>
      <c r="B59" s="373">
        <v>13009.76</v>
      </c>
      <c r="C59" s="373">
        <v>2970.38</v>
      </c>
      <c r="D59" s="263">
        <v>5000</v>
      </c>
      <c r="E59" s="263">
        <v>7000</v>
      </c>
      <c r="F59" s="373">
        <v>7499.21</v>
      </c>
      <c r="G59" s="263"/>
      <c r="H59" s="263">
        <f t="shared" si="10"/>
        <v>7000</v>
      </c>
    </row>
    <row r="60" spans="1:10" s="474" customFormat="1" ht="15.75" x14ac:dyDescent="0.25">
      <c r="A60" s="313" t="s">
        <v>626</v>
      </c>
      <c r="B60" s="373"/>
      <c r="C60" s="373">
        <v>107462.97</v>
      </c>
      <c r="D60" s="263">
        <v>140000</v>
      </c>
      <c r="E60" s="263">
        <v>140000</v>
      </c>
      <c r="F60" s="373">
        <v>42499.83</v>
      </c>
      <c r="G60" s="263"/>
      <c r="H60" s="263">
        <f t="shared" si="10"/>
        <v>140000</v>
      </c>
    </row>
    <row r="61" spans="1:10" s="474" customFormat="1" ht="15.75" x14ac:dyDescent="0.25">
      <c r="A61" s="313" t="s">
        <v>58</v>
      </c>
      <c r="B61" s="373">
        <v>1156.74</v>
      </c>
      <c r="C61" s="373">
        <v>0</v>
      </c>
      <c r="D61" s="263"/>
      <c r="E61" s="263">
        <v>0</v>
      </c>
      <c r="F61" s="373"/>
      <c r="G61" s="263"/>
      <c r="H61" s="263">
        <f t="shared" si="10"/>
        <v>0</v>
      </c>
    </row>
    <row r="62" spans="1:10" s="474" customFormat="1" ht="15.75" x14ac:dyDescent="0.25">
      <c r="A62" s="313" t="s">
        <v>588</v>
      </c>
      <c r="B62" s="373">
        <v>163460.07</v>
      </c>
      <c r="C62" s="373">
        <v>15742.1</v>
      </c>
      <c r="D62" s="263">
        <v>20000</v>
      </c>
      <c r="E62" s="263">
        <v>20000</v>
      </c>
      <c r="F62" s="373">
        <v>3188.13</v>
      </c>
      <c r="G62" s="263"/>
      <c r="H62" s="263">
        <f t="shared" si="10"/>
        <v>20000</v>
      </c>
      <c r="I62" s="605"/>
    </row>
    <row r="63" spans="1:10" s="474" customFormat="1" ht="15.75" x14ac:dyDescent="0.25">
      <c r="A63" s="313" t="s">
        <v>583</v>
      </c>
      <c r="B63" s="373">
        <f>1802+355.7+2805.15+5879.3+4435.7+3298.49+607.5+2110.65+2374.69+67.21+2242.2+1720.99+67.01+2128.35+2109.77+3.82+6023.98+157.64+830+13947.5+3279.53+1.3+40+2800+600</f>
        <v>59688.480000000003</v>
      </c>
      <c r="C63" s="373">
        <f>1940.6+2938.85+3609.2+5184.95+4747.55+4365.07+2351.55+2204.37+2677.25+2672.64+2565.95+1759.63+400+3.59+6416.55+9200+1634.39+3603.38+14640.9+5311.16+2441.09+1231.04</f>
        <v>81899.709999999977</v>
      </c>
      <c r="D63" s="263"/>
      <c r="E63" s="263">
        <v>0</v>
      </c>
      <c r="F63" s="373"/>
      <c r="G63" s="263"/>
      <c r="H63" s="263">
        <f t="shared" si="10"/>
        <v>0</v>
      </c>
    </row>
    <row r="64" spans="1:10" s="474" customFormat="1" ht="15.75" x14ac:dyDescent="0.25">
      <c r="A64" s="313" t="s">
        <v>584</v>
      </c>
      <c r="B64" s="373">
        <f>224.77+146.5+816.35</f>
        <v>1187.6199999999999</v>
      </c>
      <c r="C64" s="373">
        <f>229.36+1121.64</f>
        <v>1351</v>
      </c>
      <c r="D64" s="263">
        <v>500</v>
      </c>
      <c r="E64" s="263">
        <v>500</v>
      </c>
      <c r="F64" s="373">
        <v>76.790000000000006</v>
      </c>
      <c r="G64" s="263"/>
      <c r="H64" s="263">
        <f t="shared" si="10"/>
        <v>500</v>
      </c>
    </row>
    <row r="65" spans="1:8" s="607" customFormat="1" ht="15.75" x14ac:dyDescent="0.25">
      <c r="A65" s="343" t="s">
        <v>66</v>
      </c>
      <c r="B65" s="374">
        <f>SUM(B66:B106)</f>
        <v>10461546.759999998</v>
      </c>
      <c r="C65" s="374">
        <f>SUM(C66:C106)</f>
        <v>13485014.480000002</v>
      </c>
      <c r="D65" s="344">
        <f>SUM(D66:D106)</f>
        <v>14425680</v>
      </c>
      <c r="E65" s="344">
        <v>14536480</v>
      </c>
      <c r="F65" s="374">
        <f>SUM(F66:F106)</f>
        <v>4648728.2299999995</v>
      </c>
      <c r="G65" s="344">
        <f>SUM(G66:G106)</f>
        <v>124269</v>
      </c>
      <c r="H65" s="344">
        <f>E65+G65</f>
        <v>14660749</v>
      </c>
    </row>
    <row r="66" spans="1:8" s="474" customFormat="1" ht="15.75" x14ac:dyDescent="0.25">
      <c r="A66" s="313" t="s">
        <v>68</v>
      </c>
      <c r="B66" s="373">
        <v>42884</v>
      </c>
      <c r="C66" s="373">
        <v>44396.82</v>
      </c>
      <c r="D66" s="263">
        <v>50000</v>
      </c>
      <c r="E66" s="263">
        <v>50000</v>
      </c>
      <c r="F66" s="373">
        <v>13859.06</v>
      </c>
      <c r="G66" s="263"/>
      <c r="H66" s="263">
        <f>E66+G66</f>
        <v>50000</v>
      </c>
    </row>
    <row r="67" spans="1:8" s="474" customFormat="1" ht="15.75" x14ac:dyDescent="0.25">
      <c r="A67" s="313" t="s">
        <v>530</v>
      </c>
      <c r="B67" s="373">
        <v>2150</v>
      </c>
      <c r="C67" s="373">
        <v>2250</v>
      </c>
      <c r="D67" s="263">
        <v>2000</v>
      </c>
      <c r="E67" s="263">
        <v>2000</v>
      </c>
      <c r="F67" s="373"/>
      <c r="G67" s="263"/>
      <c r="H67" s="263">
        <f t="shared" ref="H67:H100" si="11">E67+G67</f>
        <v>2000</v>
      </c>
    </row>
    <row r="68" spans="1:8" s="474" customFormat="1" ht="15.75" x14ac:dyDescent="0.25">
      <c r="A68" s="313" t="s">
        <v>446</v>
      </c>
      <c r="B68" s="373">
        <v>1400</v>
      </c>
      <c r="C68" s="373">
        <v>1400</v>
      </c>
      <c r="D68" s="263">
        <v>1400</v>
      </c>
      <c r="E68" s="263">
        <v>1400</v>
      </c>
      <c r="F68" s="373"/>
      <c r="G68" s="263"/>
      <c r="H68" s="263">
        <f t="shared" si="11"/>
        <v>1400</v>
      </c>
    </row>
    <row r="69" spans="1:8" s="474" customFormat="1" ht="15.75" x14ac:dyDescent="0.25">
      <c r="A69" s="313" t="s">
        <v>531</v>
      </c>
      <c r="B69" s="373">
        <v>1800</v>
      </c>
      <c r="C69" s="373"/>
      <c r="D69" s="263"/>
      <c r="E69" s="263">
        <v>0</v>
      </c>
      <c r="F69" s="373"/>
      <c r="G69" s="263"/>
      <c r="H69" s="263">
        <f t="shared" si="11"/>
        <v>0</v>
      </c>
    </row>
    <row r="70" spans="1:8" s="474" customFormat="1" ht="15.75" x14ac:dyDescent="0.25">
      <c r="A70" s="313" t="s">
        <v>445</v>
      </c>
      <c r="B70" s="373">
        <v>4030</v>
      </c>
      <c r="C70" s="373">
        <v>130</v>
      </c>
      <c r="D70" s="263"/>
      <c r="E70" s="263">
        <v>0</v>
      </c>
      <c r="F70" s="373"/>
      <c r="G70" s="263"/>
      <c r="H70" s="263">
        <f t="shared" si="11"/>
        <v>0</v>
      </c>
    </row>
    <row r="71" spans="1:8" s="474" customFormat="1" ht="15.75" x14ac:dyDescent="0.25">
      <c r="A71" s="507" t="s">
        <v>435</v>
      </c>
      <c r="B71" s="373">
        <v>53237.26</v>
      </c>
      <c r="C71" s="373">
        <v>52137.5</v>
      </c>
      <c r="D71" s="263">
        <v>65000</v>
      </c>
      <c r="E71" s="263">
        <v>65000</v>
      </c>
      <c r="F71" s="373">
        <v>12708.29</v>
      </c>
      <c r="G71" s="263"/>
      <c r="H71" s="263">
        <f t="shared" si="11"/>
        <v>65000</v>
      </c>
    </row>
    <row r="72" spans="1:8" s="474" customFormat="1" ht="15.75" x14ac:dyDescent="0.25">
      <c r="A72" s="507" t="s">
        <v>540</v>
      </c>
      <c r="B72" s="373">
        <v>9640.9</v>
      </c>
      <c r="C72" s="373"/>
      <c r="D72" s="263"/>
      <c r="E72" s="263">
        <v>0</v>
      </c>
      <c r="F72" s="373"/>
      <c r="G72" s="263"/>
      <c r="H72" s="263">
        <f t="shared" si="11"/>
        <v>0</v>
      </c>
    </row>
    <row r="73" spans="1:8" s="474" customFormat="1" ht="15.75" x14ac:dyDescent="0.25">
      <c r="A73" s="507" t="s">
        <v>614</v>
      </c>
      <c r="B73" s="373">
        <v>1672</v>
      </c>
      <c r="C73" s="373">
        <v>1471.75</v>
      </c>
      <c r="D73" s="263"/>
      <c r="E73" s="263">
        <v>0</v>
      </c>
      <c r="F73" s="373">
        <v>5257.3</v>
      </c>
      <c r="G73" s="263">
        <v>15400</v>
      </c>
      <c r="H73" s="263">
        <f t="shared" si="11"/>
        <v>15400</v>
      </c>
    </row>
    <row r="74" spans="1:8" s="474" customFormat="1" ht="15.75" x14ac:dyDescent="0.25">
      <c r="A74" s="507" t="s">
        <v>615</v>
      </c>
      <c r="B74" s="373">
        <v>5660.68</v>
      </c>
      <c r="C74" s="373"/>
      <c r="D74" s="263"/>
      <c r="E74" s="263">
        <v>0</v>
      </c>
      <c r="F74" s="373"/>
      <c r="G74" s="263"/>
      <c r="H74" s="263">
        <f t="shared" si="11"/>
        <v>0</v>
      </c>
    </row>
    <row r="75" spans="1:8" s="474" customFormat="1" ht="15.75" x14ac:dyDescent="0.25">
      <c r="A75" s="507" t="s">
        <v>651</v>
      </c>
      <c r="B75" s="373"/>
      <c r="C75" s="373">
        <v>959.4</v>
      </c>
      <c r="D75" s="263"/>
      <c r="E75" s="263">
        <v>0</v>
      </c>
      <c r="F75" s="373"/>
      <c r="G75" s="263"/>
      <c r="H75" s="263">
        <f t="shared" si="11"/>
        <v>0</v>
      </c>
    </row>
    <row r="76" spans="1:8" s="474" customFormat="1" ht="15.75" x14ac:dyDescent="0.25">
      <c r="A76" s="507" t="s">
        <v>620</v>
      </c>
      <c r="B76" s="373">
        <v>183322</v>
      </c>
      <c r="C76" s="373"/>
      <c r="D76" s="263"/>
      <c r="E76" s="263">
        <v>0</v>
      </c>
      <c r="F76" s="373"/>
      <c r="G76" s="263"/>
      <c r="H76" s="263">
        <f t="shared" si="11"/>
        <v>0</v>
      </c>
    </row>
    <row r="77" spans="1:8" s="474" customFormat="1" ht="15.75" x14ac:dyDescent="0.25">
      <c r="A77" s="507" t="s">
        <v>650</v>
      </c>
      <c r="B77" s="373"/>
      <c r="C77" s="373">
        <v>430817.66</v>
      </c>
      <c r="D77" s="263"/>
      <c r="E77" s="263">
        <v>0</v>
      </c>
      <c r="F77" s="373"/>
      <c r="G77" s="263"/>
      <c r="H77" s="263">
        <f t="shared" si="11"/>
        <v>0</v>
      </c>
    </row>
    <row r="78" spans="1:8" s="474" customFormat="1" ht="15.75" x14ac:dyDescent="0.25">
      <c r="A78" s="507" t="s">
        <v>557</v>
      </c>
      <c r="B78" s="373"/>
      <c r="C78" s="373">
        <v>1000</v>
      </c>
      <c r="D78" s="263">
        <v>1000</v>
      </c>
      <c r="E78" s="263">
        <v>1000</v>
      </c>
      <c r="F78" s="373"/>
      <c r="G78" s="263"/>
      <c r="H78" s="263">
        <f t="shared" si="11"/>
        <v>1000</v>
      </c>
    </row>
    <row r="79" spans="1:8" s="474" customFormat="1" ht="15.75" x14ac:dyDescent="0.25">
      <c r="A79" s="313" t="s">
        <v>558</v>
      </c>
      <c r="B79" s="373">
        <v>8490.4</v>
      </c>
      <c r="C79" s="373">
        <v>5150</v>
      </c>
      <c r="D79" s="263">
        <v>10000</v>
      </c>
      <c r="E79" s="263">
        <v>10000</v>
      </c>
      <c r="F79" s="373">
        <v>2580</v>
      </c>
      <c r="G79" s="263"/>
      <c r="H79" s="263">
        <f t="shared" si="11"/>
        <v>10000</v>
      </c>
    </row>
    <row r="80" spans="1:8" s="474" customFormat="1" ht="15.75" x14ac:dyDescent="0.25">
      <c r="A80" s="313" t="s">
        <v>559</v>
      </c>
      <c r="B80" s="373">
        <v>363006.92</v>
      </c>
      <c r="C80" s="373">
        <v>420275.49</v>
      </c>
      <c r="D80" s="263">
        <v>402080</v>
      </c>
      <c r="E80" s="263">
        <v>402080</v>
      </c>
      <c r="F80" s="373">
        <v>132183.67000000001</v>
      </c>
      <c r="G80" s="263"/>
      <c r="H80" s="263">
        <f t="shared" si="11"/>
        <v>402080</v>
      </c>
    </row>
    <row r="81" spans="1:8" s="474" customFormat="1" ht="15.75" x14ac:dyDescent="0.25">
      <c r="A81" s="313" t="s">
        <v>560</v>
      </c>
      <c r="B81" s="373">
        <v>632609.24</v>
      </c>
      <c r="C81" s="373">
        <v>684163.9</v>
      </c>
      <c r="D81" s="263">
        <v>735000</v>
      </c>
      <c r="E81" s="263">
        <v>735000</v>
      </c>
      <c r="F81" s="373">
        <v>180966.58</v>
      </c>
      <c r="G81" s="263"/>
      <c r="H81" s="263">
        <f t="shared" si="11"/>
        <v>735000</v>
      </c>
    </row>
    <row r="82" spans="1:8" s="474" customFormat="1" ht="15.75" x14ac:dyDescent="0.25">
      <c r="A82" s="313" t="s">
        <v>561</v>
      </c>
      <c r="B82" s="373">
        <v>20497.349999999999</v>
      </c>
      <c r="C82" s="373">
        <f>20672.69+1087.6</f>
        <v>21760.289999999997</v>
      </c>
      <c r="D82" s="263">
        <v>23000</v>
      </c>
      <c r="E82" s="263">
        <v>23000</v>
      </c>
      <c r="F82" s="373">
        <v>22071.88</v>
      </c>
      <c r="G82" s="263"/>
      <c r="H82" s="263">
        <f t="shared" si="11"/>
        <v>23000</v>
      </c>
    </row>
    <row r="83" spans="1:8" s="474" customFormat="1" ht="15.75" x14ac:dyDescent="0.25">
      <c r="A83" s="507" t="s">
        <v>562</v>
      </c>
      <c r="B83" s="373">
        <v>6087657</v>
      </c>
      <c r="C83" s="373">
        <v>9241018</v>
      </c>
      <c r="D83" s="263">
        <v>10000000</v>
      </c>
      <c r="E83" s="263">
        <v>10100000</v>
      </c>
      <c r="F83" s="373">
        <v>3227019</v>
      </c>
      <c r="G83" s="263"/>
      <c r="H83" s="263">
        <f t="shared" si="11"/>
        <v>10100000</v>
      </c>
    </row>
    <row r="84" spans="1:8" s="474" customFormat="1" ht="15.75" x14ac:dyDescent="0.25">
      <c r="A84" s="507" t="s">
        <v>563</v>
      </c>
      <c r="B84" s="373">
        <v>33520.11</v>
      </c>
      <c r="C84" s="373">
        <f>33173.23+4302.4</f>
        <v>37475.630000000005</v>
      </c>
      <c r="D84" s="263">
        <v>35000</v>
      </c>
      <c r="E84" s="263">
        <v>35000</v>
      </c>
      <c r="F84" s="373"/>
      <c r="G84" s="263"/>
      <c r="H84" s="263">
        <f t="shared" si="11"/>
        <v>35000</v>
      </c>
    </row>
    <row r="85" spans="1:8" s="474" customFormat="1" ht="15.75" x14ac:dyDescent="0.25">
      <c r="A85" s="507" t="s">
        <v>564</v>
      </c>
      <c r="B85" s="373">
        <v>10846.38</v>
      </c>
      <c r="C85" s="373"/>
      <c r="D85" s="263">
        <v>0</v>
      </c>
      <c r="E85" s="263">
        <v>0</v>
      </c>
      <c r="F85" s="373"/>
      <c r="G85" s="263"/>
      <c r="H85" s="263">
        <f t="shared" si="11"/>
        <v>0</v>
      </c>
    </row>
    <row r="86" spans="1:8" s="474" customFormat="1" ht="15.75" x14ac:dyDescent="0.25">
      <c r="A86" s="507" t="s">
        <v>565</v>
      </c>
      <c r="B86" s="373">
        <v>887.85</v>
      </c>
      <c r="C86" s="373">
        <f>874.32+1087.6</f>
        <v>1961.92</v>
      </c>
      <c r="D86" s="263">
        <v>1000</v>
      </c>
      <c r="E86" s="263">
        <v>1000</v>
      </c>
      <c r="F86" s="373"/>
      <c r="G86" s="263"/>
      <c r="H86" s="263">
        <f t="shared" si="11"/>
        <v>1000</v>
      </c>
    </row>
    <row r="87" spans="1:8" s="474" customFormat="1" ht="15.75" x14ac:dyDescent="0.25">
      <c r="A87" s="507" t="s">
        <v>566</v>
      </c>
      <c r="B87" s="373">
        <v>2487.31</v>
      </c>
      <c r="C87" s="373">
        <f>2645.36+435.04</f>
        <v>3080.4</v>
      </c>
      <c r="D87" s="263">
        <v>2700</v>
      </c>
      <c r="E87" s="263">
        <v>2700</v>
      </c>
      <c r="F87" s="373">
        <v>2813.77</v>
      </c>
      <c r="G87" s="263"/>
      <c r="H87" s="263">
        <f t="shared" si="11"/>
        <v>2700</v>
      </c>
    </row>
    <row r="88" spans="1:8" s="474" customFormat="1" ht="15.75" x14ac:dyDescent="0.25">
      <c r="A88" s="507" t="s">
        <v>567</v>
      </c>
      <c r="B88" s="373">
        <f>256.4+6782.16</f>
        <v>7038.5599999999995</v>
      </c>
      <c r="C88" s="373">
        <f>224.4+6678.87+761.32</f>
        <v>7664.5899999999992</v>
      </c>
      <c r="D88" s="263">
        <v>7500</v>
      </c>
      <c r="E88" s="263">
        <v>7500</v>
      </c>
      <c r="F88" s="373">
        <f>171.6+6578.22</f>
        <v>6749.8200000000006</v>
      </c>
      <c r="G88" s="263"/>
      <c r="H88" s="263">
        <f t="shared" si="11"/>
        <v>7500</v>
      </c>
    </row>
    <row r="89" spans="1:8" s="474" customFormat="1" ht="15.75" x14ac:dyDescent="0.25">
      <c r="A89" s="507" t="s">
        <v>568</v>
      </c>
      <c r="B89" s="373">
        <v>43555</v>
      </c>
      <c r="C89" s="373">
        <f>64930+2697</f>
        <v>67627</v>
      </c>
      <c r="D89" s="263">
        <v>70000</v>
      </c>
      <c r="E89" s="263">
        <v>70000</v>
      </c>
      <c r="F89" s="373">
        <v>21644</v>
      </c>
      <c r="G89" s="263"/>
      <c r="H89" s="263">
        <f t="shared" si="11"/>
        <v>70000</v>
      </c>
    </row>
    <row r="90" spans="1:8" s="474" customFormat="1" ht="15.75" x14ac:dyDescent="0.25">
      <c r="A90" s="507" t="s">
        <v>569</v>
      </c>
      <c r="B90" s="373">
        <v>1827294.2</v>
      </c>
      <c r="C90" s="373">
        <v>2027116.1</v>
      </c>
      <c r="D90" s="263">
        <f>1457042+142958+774240+25760</f>
        <v>2400000</v>
      </c>
      <c r="E90" s="263">
        <v>2200000</v>
      </c>
      <c r="F90" s="373">
        <v>955053</v>
      </c>
      <c r="G90" s="263">
        <v>10000</v>
      </c>
      <c r="H90" s="263">
        <f t="shared" si="11"/>
        <v>2210000</v>
      </c>
    </row>
    <row r="91" spans="1:8" s="474" customFormat="1" ht="15.75" x14ac:dyDescent="0.25">
      <c r="A91" s="507" t="s">
        <v>585</v>
      </c>
      <c r="B91" s="373">
        <f>6700+4795.54+2300+141811.23+37741.98+29100+91528.35+79264.44+66181.92+14550+11501.9</f>
        <v>485475.36000000004</v>
      </c>
      <c r="C91" s="373">
        <f>9895+42310+46807.92+9145.08+19093.51+21770+38334.91+12414.39</f>
        <v>199770.81</v>
      </c>
      <c r="D91" s="263">
        <f>132500+27500</f>
        <v>160000</v>
      </c>
      <c r="E91" s="263">
        <v>361800</v>
      </c>
      <c r="F91" s="373">
        <v>40772.97</v>
      </c>
      <c r="G91" s="263">
        <f>15000+150+180</f>
        <v>15330</v>
      </c>
      <c r="H91" s="263">
        <f t="shared" si="11"/>
        <v>377130</v>
      </c>
    </row>
    <row r="92" spans="1:8" s="474" customFormat="1" ht="15.75" x14ac:dyDescent="0.25">
      <c r="A92" s="507" t="s">
        <v>746</v>
      </c>
      <c r="B92" s="373"/>
      <c r="C92" s="373"/>
      <c r="D92" s="263"/>
      <c r="E92" s="263"/>
      <c r="F92" s="373"/>
      <c r="G92" s="263">
        <v>1000</v>
      </c>
      <c r="H92" s="263">
        <f t="shared" si="11"/>
        <v>1000</v>
      </c>
    </row>
    <row r="93" spans="1:8" s="474" customFormat="1" ht="15.75" x14ac:dyDescent="0.25">
      <c r="A93" s="507" t="s">
        <v>577</v>
      </c>
      <c r="B93" s="373">
        <v>3500</v>
      </c>
      <c r="C93" s="373">
        <v>5000</v>
      </c>
      <c r="D93" s="263">
        <v>5000</v>
      </c>
      <c r="E93" s="263">
        <v>5000</v>
      </c>
      <c r="F93" s="373"/>
      <c r="G93" s="263"/>
      <c r="H93" s="263">
        <f t="shared" si="11"/>
        <v>5000</v>
      </c>
    </row>
    <row r="94" spans="1:8" s="474" customFormat="1" ht="15.75" x14ac:dyDescent="0.25">
      <c r="A94" s="507" t="s">
        <v>570</v>
      </c>
      <c r="B94" s="373"/>
      <c r="C94" s="373"/>
      <c r="D94" s="263"/>
      <c r="E94" s="263">
        <v>0</v>
      </c>
      <c r="F94" s="373"/>
      <c r="G94" s="263"/>
      <c r="H94" s="263">
        <f t="shared" si="11"/>
        <v>0</v>
      </c>
    </row>
    <row r="95" spans="1:8" s="474" customFormat="1" ht="15.75" x14ac:dyDescent="0.25">
      <c r="A95" s="507" t="s">
        <v>608</v>
      </c>
      <c r="B95" s="373">
        <v>460100</v>
      </c>
      <c r="C95" s="373">
        <v>102750</v>
      </c>
      <c r="D95" s="263">
        <v>110000</v>
      </c>
      <c r="E95" s="263">
        <v>110000</v>
      </c>
      <c r="F95" s="373">
        <v>24970</v>
      </c>
      <c r="G95" s="263"/>
      <c r="H95" s="263">
        <f t="shared" si="11"/>
        <v>110000</v>
      </c>
    </row>
    <row r="96" spans="1:8" s="474" customFormat="1" ht="15.75" x14ac:dyDescent="0.25">
      <c r="A96" s="507" t="s">
        <v>658</v>
      </c>
      <c r="B96" s="373"/>
      <c r="C96" s="373"/>
      <c r="D96" s="263">
        <v>220000</v>
      </c>
      <c r="E96" s="263">
        <v>220000</v>
      </c>
      <c r="F96" s="373"/>
      <c r="G96" s="263"/>
      <c r="H96" s="263">
        <f t="shared" si="11"/>
        <v>220000</v>
      </c>
    </row>
    <row r="97" spans="1:8" s="474" customFormat="1" ht="15.75" x14ac:dyDescent="0.25">
      <c r="A97" s="507" t="s">
        <v>678</v>
      </c>
      <c r="B97" s="373"/>
      <c r="C97" s="373"/>
      <c r="D97" s="263"/>
      <c r="E97" s="263">
        <v>9000</v>
      </c>
      <c r="F97" s="373"/>
      <c r="G97" s="263"/>
      <c r="H97" s="263">
        <f t="shared" si="11"/>
        <v>9000</v>
      </c>
    </row>
    <row r="98" spans="1:8" s="474" customFormat="1" ht="15.75" x14ac:dyDescent="0.25">
      <c r="A98" s="507" t="s">
        <v>744</v>
      </c>
      <c r="B98" s="373"/>
      <c r="C98" s="373"/>
      <c r="D98" s="263"/>
      <c r="E98" s="263"/>
      <c r="F98" s="373"/>
      <c r="G98" s="263">
        <v>80</v>
      </c>
      <c r="H98" s="263">
        <f t="shared" si="11"/>
        <v>80</v>
      </c>
    </row>
    <row r="99" spans="1:8" s="474" customFormat="1" ht="15.75" x14ac:dyDescent="0.25">
      <c r="A99" s="507" t="s">
        <v>742</v>
      </c>
      <c r="B99" s="373"/>
      <c r="C99" s="373"/>
      <c r="D99" s="263"/>
      <c r="E99" s="263"/>
      <c r="F99" s="373"/>
      <c r="G99" s="263">
        <v>23659</v>
      </c>
      <c r="H99" s="263">
        <f t="shared" si="11"/>
        <v>23659</v>
      </c>
    </row>
    <row r="100" spans="1:8" s="474" customFormat="1" ht="15.75" x14ac:dyDescent="0.25">
      <c r="A100" s="507" t="s">
        <v>745</v>
      </c>
      <c r="B100" s="373"/>
      <c r="C100" s="373"/>
      <c r="D100" s="263"/>
      <c r="E100" s="263"/>
      <c r="F100" s="373"/>
      <c r="G100" s="263">
        <v>23800</v>
      </c>
      <c r="H100" s="263">
        <f t="shared" si="11"/>
        <v>23800</v>
      </c>
    </row>
    <row r="101" spans="1:8" s="474" customFormat="1" ht="15.75" x14ac:dyDescent="0.25">
      <c r="A101" s="507" t="s">
        <v>571</v>
      </c>
      <c r="B101" s="373">
        <v>1612</v>
      </c>
      <c r="C101" s="373">
        <v>2141</v>
      </c>
      <c r="D101" s="263"/>
      <c r="E101" s="263">
        <v>0</v>
      </c>
      <c r="F101" s="373"/>
      <c r="G101" s="263"/>
      <c r="H101" s="263">
        <f t="shared" ref="H101:H106" si="12">E101+G101</f>
        <v>0</v>
      </c>
    </row>
    <row r="102" spans="1:8" s="474" customFormat="1" ht="15" customHeight="1" x14ac:dyDescent="0.25">
      <c r="A102" s="507" t="s">
        <v>572</v>
      </c>
      <c r="B102" s="373">
        <v>46106.13</v>
      </c>
      <c r="C102" s="373">
        <v>42500</v>
      </c>
      <c r="D102" s="263">
        <v>25000</v>
      </c>
      <c r="E102" s="263">
        <v>25000</v>
      </c>
      <c r="F102" s="373"/>
      <c r="G102" s="263">
        <v>25000</v>
      </c>
      <c r="H102" s="263">
        <f t="shared" si="12"/>
        <v>50000</v>
      </c>
    </row>
    <row r="103" spans="1:8" s="474" customFormat="1" ht="15.75" x14ac:dyDescent="0.25">
      <c r="A103" s="507" t="s">
        <v>611</v>
      </c>
      <c r="B103" s="373"/>
      <c r="C103" s="373">
        <v>12514</v>
      </c>
      <c r="D103" s="263"/>
      <c r="E103" s="263">
        <v>0</v>
      </c>
      <c r="F103" s="373"/>
      <c r="G103" s="263"/>
      <c r="H103" s="263">
        <f t="shared" si="12"/>
        <v>0</v>
      </c>
    </row>
    <row r="104" spans="1:8" s="474" customFormat="1" ht="15.75" x14ac:dyDescent="0.25">
      <c r="A104" s="507" t="s">
        <v>586</v>
      </c>
      <c r="B104" s="373">
        <v>51414.92</v>
      </c>
      <c r="C104" s="373"/>
      <c r="D104" s="263">
        <v>35000</v>
      </c>
      <c r="E104" s="263">
        <v>35000</v>
      </c>
      <c r="F104" s="373"/>
      <c r="G104" s="263">
        <v>15000</v>
      </c>
      <c r="H104" s="263">
        <f t="shared" si="12"/>
        <v>50000</v>
      </c>
    </row>
    <row r="105" spans="1:8" s="474" customFormat="1" ht="15.75" x14ac:dyDescent="0.25">
      <c r="A105" s="507" t="s">
        <v>573</v>
      </c>
      <c r="B105" s="373">
        <v>67383.19</v>
      </c>
      <c r="C105" s="373">
        <v>53482.22</v>
      </c>
      <c r="D105" s="263">
        <v>55000</v>
      </c>
      <c r="E105" s="263">
        <v>55000</v>
      </c>
      <c r="F105" s="373"/>
      <c r="G105" s="263"/>
      <c r="H105" s="263">
        <f t="shared" si="12"/>
        <v>55000</v>
      </c>
    </row>
    <row r="106" spans="1:8" s="474" customFormat="1" ht="16.5" thickBot="1" x14ac:dyDescent="0.3">
      <c r="A106" s="507" t="s">
        <v>574</v>
      </c>
      <c r="B106" s="373">
        <v>2268</v>
      </c>
      <c r="C106" s="373">
        <v>15000</v>
      </c>
      <c r="D106" s="263">
        <v>10000</v>
      </c>
      <c r="E106" s="263">
        <v>10000</v>
      </c>
      <c r="F106" s="373">
        <v>78.89</v>
      </c>
      <c r="G106" s="263">
        <v>-5000</v>
      </c>
      <c r="H106" s="263">
        <f t="shared" si="12"/>
        <v>5000</v>
      </c>
    </row>
    <row r="107" spans="1:8" s="474" customFormat="1" ht="18.75" thickBot="1" x14ac:dyDescent="0.3">
      <c r="A107" s="317" t="s">
        <v>407</v>
      </c>
      <c r="B107" s="375">
        <f t="shared" ref="B107:G107" si="13">B108+B112</f>
        <v>2775376.4699999997</v>
      </c>
      <c r="C107" s="375">
        <f t="shared" si="13"/>
        <v>3046848.8699999996</v>
      </c>
      <c r="D107" s="318">
        <f t="shared" si="13"/>
        <v>4464200</v>
      </c>
      <c r="E107" s="318">
        <v>5158200</v>
      </c>
      <c r="F107" s="375">
        <f t="shared" si="13"/>
        <v>1685747.81</v>
      </c>
      <c r="G107" s="318">
        <f t="shared" si="13"/>
        <v>-444359</v>
      </c>
      <c r="H107" s="318">
        <f>E107+G107</f>
        <v>4713841</v>
      </c>
    </row>
    <row r="108" spans="1:8" s="474" customFormat="1" ht="18.75" thickBot="1" x14ac:dyDescent="0.3">
      <c r="A108" s="338" t="s">
        <v>111</v>
      </c>
      <c r="B108" s="376">
        <f t="shared" ref="B108:G108" si="14">SUM(B109:B111)</f>
        <v>128049.2</v>
      </c>
      <c r="C108" s="376">
        <f t="shared" si="14"/>
        <v>664667.11</v>
      </c>
      <c r="D108" s="339">
        <f t="shared" si="14"/>
        <v>1050000</v>
      </c>
      <c r="E108" s="339">
        <v>1050000</v>
      </c>
      <c r="F108" s="376">
        <f t="shared" si="14"/>
        <v>77517.98000000001</v>
      </c>
      <c r="G108" s="339">
        <f t="shared" si="14"/>
        <v>0</v>
      </c>
      <c r="H108" s="339">
        <f>E108+G108</f>
        <v>1050000</v>
      </c>
    </row>
    <row r="109" spans="1:8" s="474" customFormat="1" ht="15.75" x14ac:dyDescent="0.25">
      <c r="A109" s="608" t="s">
        <v>541</v>
      </c>
      <c r="B109" s="377"/>
      <c r="C109" s="377">
        <v>620825.29</v>
      </c>
      <c r="D109" s="342">
        <f>200000+150000</f>
        <v>350000</v>
      </c>
      <c r="E109" s="342">
        <v>350000</v>
      </c>
      <c r="F109" s="377">
        <v>69206.990000000005</v>
      </c>
      <c r="G109" s="342"/>
      <c r="H109" s="342">
        <f>E109+G109</f>
        <v>350000</v>
      </c>
    </row>
    <row r="110" spans="1:8" s="474" customFormat="1" ht="15.75" x14ac:dyDescent="0.25">
      <c r="A110" s="608" t="s">
        <v>114</v>
      </c>
      <c r="B110" s="377"/>
      <c r="C110" s="377">
        <v>350</v>
      </c>
      <c r="D110" s="342"/>
      <c r="E110" s="342">
        <v>0</v>
      </c>
      <c r="F110" s="377"/>
      <c r="G110" s="342"/>
      <c r="H110" s="342">
        <f t="shared" ref="H110:H111" si="15">E110+G110</f>
        <v>0</v>
      </c>
    </row>
    <row r="111" spans="1:8" ht="16.5" thickBot="1" x14ac:dyDescent="0.3">
      <c r="A111" s="340" t="s">
        <v>115</v>
      </c>
      <c r="B111" s="378">
        <v>128049.2</v>
      </c>
      <c r="C111" s="378">
        <v>43491.82</v>
      </c>
      <c r="D111" s="341">
        <f>600000+100000</f>
        <v>700000</v>
      </c>
      <c r="E111" s="341">
        <v>700000</v>
      </c>
      <c r="F111" s="378">
        <v>8310.99</v>
      </c>
      <c r="G111" s="341"/>
      <c r="H111" s="342">
        <f t="shared" si="15"/>
        <v>700000</v>
      </c>
    </row>
    <row r="112" spans="1:8" ht="18.75" thickBot="1" x14ac:dyDescent="0.3">
      <c r="A112" s="320" t="s">
        <v>116</v>
      </c>
      <c r="B112" s="379">
        <f>SUM(B113:B131)</f>
        <v>2647327.2699999996</v>
      </c>
      <c r="C112" s="379">
        <f>SUM(C113:C131)</f>
        <v>2382181.7599999998</v>
      </c>
      <c r="D112" s="321">
        <f>SUM(D113:D131)</f>
        <v>3414200</v>
      </c>
      <c r="E112" s="321">
        <v>4108200</v>
      </c>
      <c r="F112" s="379">
        <f>SUM(F113:F131)</f>
        <v>1608229.83</v>
      </c>
      <c r="G112" s="321">
        <f>SUM(G113:G131)</f>
        <v>-444359</v>
      </c>
      <c r="H112" s="339">
        <f>E112+G112</f>
        <v>3663841</v>
      </c>
    </row>
    <row r="113" spans="1:8" ht="15.75" x14ac:dyDescent="0.25">
      <c r="A113" s="310" t="s">
        <v>532</v>
      </c>
      <c r="B113" s="373"/>
      <c r="C113" s="373">
        <v>1659549.26</v>
      </c>
      <c r="D113" s="263"/>
      <c r="E113" s="263">
        <v>184000</v>
      </c>
      <c r="F113" s="373">
        <v>183754.82</v>
      </c>
      <c r="G113" s="263"/>
      <c r="H113" s="263">
        <f t="shared" ref="H113:H131" si="16">E113+G113</f>
        <v>184000</v>
      </c>
    </row>
    <row r="114" spans="1:8" ht="15.75" x14ac:dyDescent="0.25">
      <c r="A114" s="310" t="s">
        <v>659</v>
      </c>
      <c r="B114" s="373"/>
      <c r="C114" s="373"/>
      <c r="D114" s="263">
        <v>1338000</v>
      </c>
      <c r="E114" s="263">
        <v>1365000</v>
      </c>
      <c r="F114" s="373">
        <v>976875.94</v>
      </c>
      <c r="G114" s="263"/>
      <c r="H114" s="263">
        <f t="shared" si="16"/>
        <v>1365000</v>
      </c>
    </row>
    <row r="115" spans="1:8" s="474" customFormat="1" ht="15.75" x14ac:dyDescent="0.25">
      <c r="A115" s="313" t="s">
        <v>579</v>
      </c>
      <c r="B115" s="373">
        <v>357150.2</v>
      </c>
      <c r="C115" s="373"/>
      <c r="D115" s="263"/>
      <c r="E115" s="263">
        <v>0</v>
      </c>
      <c r="F115" s="373"/>
      <c r="G115" s="263"/>
      <c r="H115" s="263">
        <f t="shared" si="16"/>
        <v>0</v>
      </c>
    </row>
    <row r="116" spans="1:8" s="474" customFormat="1" ht="15.75" x14ac:dyDescent="0.25">
      <c r="A116" s="313" t="s">
        <v>580</v>
      </c>
      <c r="B116" s="373"/>
      <c r="C116" s="373">
        <v>45000</v>
      </c>
      <c r="D116" s="263"/>
      <c r="E116" s="263">
        <v>0</v>
      </c>
      <c r="F116" s="373"/>
      <c r="G116" s="263"/>
      <c r="H116" s="263">
        <f t="shared" si="16"/>
        <v>0</v>
      </c>
    </row>
    <row r="117" spans="1:8" s="474" customFormat="1" ht="15.75" x14ac:dyDescent="0.25">
      <c r="A117" s="313" t="s">
        <v>589</v>
      </c>
      <c r="B117" s="373">
        <v>195471.86</v>
      </c>
      <c r="C117" s="373">
        <v>359710.49</v>
      </c>
      <c r="D117" s="263">
        <v>133000</v>
      </c>
      <c r="E117" s="263">
        <v>41000</v>
      </c>
      <c r="F117" s="373"/>
      <c r="G117" s="263"/>
      <c r="H117" s="263">
        <f t="shared" si="16"/>
        <v>41000</v>
      </c>
    </row>
    <row r="118" spans="1:8" s="474" customFormat="1" ht="15.75" x14ac:dyDescent="0.25">
      <c r="A118" s="313" t="s">
        <v>616</v>
      </c>
      <c r="B118" s="373">
        <v>1554922.49</v>
      </c>
      <c r="C118" s="373"/>
      <c r="D118" s="263"/>
      <c r="E118" s="263">
        <v>0</v>
      </c>
      <c r="F118" s="373"/>
      <c r="G118" s="263"/>
      <c r="H118" s="263">
        <f t="shared" si="16"/>
        <v>0</v>
      </c>
    </row>
    <row r="119" spans="1:8" s="474" customFormat="1" ht="15.75" x14ac:dyDescent="0.25">
      <c r="A119" s="313" t="s">
        <v>602</v>
      </c>
      <c r="B119" s="373">
        <v>264836.71999999997</v>
      </c>
      <c r="C119" s="373">
        <v>21025.13</v>
      </c>
      <c r="D119" s="263">
        <v>250000</v>
      </c>
      <c r="E119" s="263">
        <v>250000</v>
      </c>
      <c r="F119" s="373">
        <v>75104.289999999994</v>
      </c>
      <c r="G119" s="263">
        <v>-30000</v>
      </c>
      <c r="H119" s="263">
        <f t="shared" si="16"/>
        <v>220000</v>
      </c>
    </row>
    <row r="120" spans="1:8" s="474" customFormat="1" ht="15.75" x14ac:dyDescent="0.25">
      <c r="A120" s="313" t="s">
        <v>743</v>
      </c>
      <c r="B120" s="373">
        <v>9750</v>
      </c>
      <c r="C120" s="373"/>
      <c r="D120" s="263"/>
      <c r="E120" s="263">
        <v>0</v>
      </c>
      <c r="F120" s="373"/>
      <c r="G120" s="263">
        <v>6341</v>
      </c>
      <c r="H120" s="263">
        <f t="shared" si="16"/>
        <v>6341</v>
      </c>
    </row>
    <row r="121" spans="1:8" s="474" customFormat="1" ht="15.75" x14ac:dyDescent="0.25">
      <c r="A121" s="313" t="s">
        <v>627</v>
      </c>
      <c r="B121" s="373">
        <v>2732</v>
      </c>
      <c r="C121" s="373"/>
      <c r="D121" s="263"/>
      <c r="E121" s="263">
        <v>0</v>
      </c>
      <c r="F121" s="373"/>
      <c r="G121" s="263"/>
      <c r="H121" s="263">
        <f t="shared" si="16"/>
        <v>0</v>
      </c>
    </row>
    <row r="122" spans="1:8" s="474" customFormat="1" ht="15.75" x14ac:dyDescent="0.25">
      <c r="A122" s="313" t="s">
        <v>635</v>
      </c>
      <c r="B122" s="373">
        <v>5000</v>
      </c>
      <c r="C122" s="373">
        <v>5000</v>
      </c>
      <c r="D122" s="263"/>
      <c r="E122" s="263">
        <v>0</v>
      </c>
      <c r="F122" s="373"/>
      <c r="G122" s="263"/>
      <c r="H122" s="263">
        <f t="shared" si="16"/>
        <v>0</v>
      </c>
    </row>
    <row r="123" spans="1:8" s="474" customFormat="1" ht="15.75" x14ac:dyDescent="0.25">
      <c r="A123" s="313" t="s">
        <v>621</v>
      </c>
      <c r="B123" s="373"/>
      <c r="C123" s="373"/>
      <c r="D123" s="263">
        <v>363200</v>
      </c>
      <c r="E123" s="263">
        <v>363200</v>
      </c>
      <c r="F123" s="373"/>
      <c r="G123" s="263">
        <v>-23700</v>
      </c>
      <c r="H123" s="263">
        <f t="shared" si="16"/>
        <v>339500</v>
      </c>
    </row>
    <row r="124" spans="1:8" s="474" customFormat="1" ht="15.75" x14ac:dyDescent="0.25">
      <c r="A124" s="313" t="s">
        <v>660</v>
      </c>
      <c r="B124" s="373"/>
      <c r="C124" s="373"/>
      <c r="D124" s="263">
        <v>400000</v>
      </c>
      <c r="E124" s="263">
        <v>400000</v>
      </c>
      <c r="F124" s="373"/>
      <c r="G124" s="263">
        <v>-400000</v>
      </c>
      <c r="H124" s="263">
        <f t="shared" si="16"/>
        <v>0</v>
      </c>
    </row>
    <row r="125" spans="1:8" s="474" customFormat="1" ht="15.75" x14ac:dyDescent="0.25">
      <c r="A125" s="313" t="s">
        <v>661</v>
      </c>
      <c r="B125" s="373"/>
      <c r="C125" s="373"/>
      <c r="D125" s="263">
        <v>530000</v>
      </c>
      <c r="E125" s="263">
        <v>530000</v>
      </c>
      <c r="F125" s="373"/>
      <c r="G125" s="263"/>
      <c r="H125" s="263">
        <f t="shared" si="16"/>
        <v>530000</v>
      </c>
    </row>
    <row r="126" spans="1:8" s="474" customFormat="1" ht="15.75" x14ac:dyDescent="0.25">
      <c r="A126" s="313" t="s">
        <v>679</v>
      </c>
      <c r="B126" s="373"/>
      <c r="C126" s="373"/>
      <c r="D126" s="263">
        <v>400000</v>
      </c>
      <c r="E126" s="263">
        <v>975000</v>
      </c>
      <c r="F126" s="373">
        <v>372494.78</v>
      </c>
      <c r="G126" s="263"/>
      <c r="H126" s="263">
        <f t="shared" si="16"/>
        <v>975000</v>
      </c>
    </row>
    <row r="127" spans="1:8" s="474" customFormat="1" ht="15.75" x14ac:dyDescent="0.25">
      <c r="A127" s="313" t="s">
        <v>610</v>
      </c>
      <c r="B127" s="373">
        <v>20000</v>
      </c>
      <c r="C127" s="373"/>
      <c r="D127" s="263"/>
      <c r="E127" s="263">
        <v>0</v>
      </c>
      <c r="F127" s="373"/>
      <c r="G127" s="263"/>
      <c r="H127" s="263">
        <f t="shared" si="16"/>
        <v>0</v>
      </c>
    </row>
    <row r="128" spans="1:8" s="474" customFormat="1" ht="15.75" x14ac:dyDescent="0.25">
      <c r="A128" s="313" t="s">
        <v>653</v>
      </c>
      <c r="B128" s="373"/>
      <c r="C128" s="373">
        <v>13012</v>
      </c>
      <c r="D128" s="263"/>
      <c r="E128" s="263">
        <v>0</v>
      </c>
      <c r="F128" s="373"/>
      <c r="G128" s="263"/>
      <c r="H128" s="263">
        <f t="shared" si="16"/>
        <v>0</v>
      </c>
    </row>
    <row r="129" spans="1:8" s="474" customFormat="1" ht="15.75" x14ac:dyDescent="0.25">
      <c r="A129" s="313" t="s">
        <v>754</v>
      </c>
      <c r="B129" s="373"/>
      <c r="C129" s="373"/>
      <c r="D129" s="263"/>
      <c r="E129" s="263"/>
      <c r="F129" s="373"/>
      <c r="G129" s="263">
        <v>3000</v>
      </c>
      <c r="H129" s="263">
        <f t="shared" si="16"/>
        <v>3000</v>
      </c>
    </row>
    <row r="130" spans="1:8" s="474" customFormat="1" ht="15.75" x14ac:dyDescent="0.25">
      <c r="A130" s="313" t="s">
        <v>640</v>
      </c>
      <c r="B130" s="373"/>
      <c r="C130" s="373">
        <v>278884.88</v>
      </c>
      <c r="D130" s="263"/>
      <c r="E130" s="263">
        <v>0</v>
      </c>
      <c r="F130" s="373"/>
      <c r="G130" s="263"/>
      <c r="H130" s="263">
        <f t="shared" si="16"/>
        <v>0</v>
      </c>
    </row>
    <row r="131" spans="1:8" s="474" customFormat="1" ht="16.5" thickBot="1" x14ac:dyDescent="0.3">
      <c r="A131" s="313" t="s">
        <v>457</v>
      </c>
      <c r="B131" s="373">
        <v>237464</v>
      </c>
      <c r="C131" s="373"/>
      <c r="D131" s="263"/>
      <c r="E131" s="263">
        <v>0</v>
      </c>
      <c r="F131" s="373"/>
      <c r="G131" s="263"/>
      <c r="H131" s="263">
        <f t="shared" si="16"/>
        <v>0</v>
      </c>
    </row>
    <row r="132" spans="1:8" ht="18.75" thickBot="1" x14ac:dyDescent="0.3">
      <c r="A132" s="252" t="s">
        <v>398</v>
      </c>
      <c r="B132" s="368">
        <f>SUM(B133:B140)</f>
        <v>4487096.21</v>
      </c>
      <c r="C132" s="368">
        <f>SUM(C133:C140)</f>
        <v>828241.21000000008</v>
      </c>
      <c r="D132" s="306">
        <f>SUM(D133:D140)</f>
        <v>3975000</v>
      </c>
      <c r="E132" s="306">
        <v>4421315</v>
      </c>
      <c r="F132" s="368">
        <f>SUM(F133:F140)</f>
        <v>405492.29000000004</v>
      </c>
      <c r="G132" s="306">
        <f>SUM(G133:G140)</f>
        <v>-173300</v>
      </c>
      <c r="H132" s="306">
        <f>E132+G132</f>
        <v>4248015</v>
      </c>
    </row>
    <row r="133" spans="1:8" s="474" customFormat="1" ht="15.75" x14ac:dyDescent="0.25">
      <c r="A133" s="313" t="s">
        <v>454</v>
      </c>
      <c r="B133" s="373">
        <v>562696.06000000006</v>
      </c>
      <c r="C133" s="373">
        <v>50000</v>
      </c>
      <c r="D133" s="263">
        <v>300000</v>
      </c>
      <c r="E133" s="263">
        <v>300000</v>
      </c>
      <c r="F133" s="373"/>
      <c r="G133" s="263">
        <v>-176000</v>
      </c>
      <c r="H133" s="263">
        <f>E133+G133</f>
        <v>124000</v>
      </c>
    </row>
    <row r="134" spans="1:8" s="474" customFormat="1" ht="15.75" x14ac:dyDescent="0.25">
      <c r="A134" s="313" t="s">
        <v>534</v>
      </c>
      <c r="B134" s="373">
        <v>10447.77</v>
      </c>
      <c r="C134" s="373"/>
      <c r="D134" s="263"/>
      <c r="E134" s="263">
        <v>0</v>
      </c>
      <c r="F134" s="373"/>
      <c r="G134" s="263"/>
      <c r="H134" s="263">
        <f t="shared" ref="H134:H140" si="17">E134+G134</f>
        <v>0</v>
      </c>
    </row>
    <row r="135" spans="1:8" s="474" customFormat="1" ht="15.75" x14ac:dyDescent="0.25">
      <c r="A135" s="313" t="s">
        <v>455</v>
      </c>
      <c r="B135" s="373">
        <f>2338.49+82824.21+305589.61+205555.51+15000+237081.9+56923.89+40884.65</f>
        <v>946198.26000000013</v>
      </c>
      <c r="C135" s="373">
        <f>9420+211199.64+1490.91+237464+105836.22+20000+35936.33+62634.04</f>
        <v>683981.14</v>
      </c>
      <c r="D135" s="263">
        <v>25000</v>
      </c>
      <c r="E135" s="263">
        <v>471315</v>
      </c>
      <c r="F135" s="373">
        <v>315889.94</v>
      </c>
      <c r="G135" s="263"/>
      <c r="H135" s="263">
        <f t="shared" si="17"/>
        <v>471315</v>
      </c>
    </row>
    <row r="136" spans="1:8" s="474" customFormat="1" ht="15.75" x14ac:dyDescent="0.25">
      <c r="A136" s="313" t="s">
        <v>646</v>
      </c>
      <c r="B136" s="373">
        <v>10641.34</v>
      </c>
      <c r="C136" s="373">
        <v>17223.53</v>
      </c>
      <c r="D136" s="263"/>
      <c r="E136" s="263">
        <v>0</v>
      </c>
      <c r="F136" s="373">
        <v>894.34</v>
      </c>
      <c r="G136" s="263"/>
      <c r="H136" s="263">
        <f t="shared" si="17"/>
        <v>0</v>
      </c>
    </row>
    <row r="137" spans="1:8" s="474" customFormat="1" ht="15.75" x14ac:dyDescent="0.25">
      <c r="A137" s="313" t="s">
        <v>604</v>
      </c>
      <c r="B137" s="373">
        <v>4429.8</v>
      </c>
      <c r="C137" s="373"/>
      <c r="D137" s="263"/>
      <c r="E137" s="263">
        <v>0</v>
      </c>
      <c r="F137" s="373"/>
      <c r="G137" s="263">
        <v>2700</v>
      </c>
      <c r="H137" s="263">
        <f t="shared" si="17"/>
        <v>2700</v>
      </c>
    </row>
    <row r="138" spans="1:8" s="474" customFormat="1" ht="15.75" x14ac:dyDescent="0.25">
      <c r="A138" s="313" t="s">
        <v>591</v>
      </c>
      <c r="B138" s="373">
        <v>2640142.2999999998</v>
      </c>
      <c r="C138" s="373"/>
      <c r="D138" s="263">
        <v>500000</v>
      </c>
      <c r="E138" s="263">
        <v>500000</v>
      </c>
      <c r="F138" s="373">
        <v>88708.01</v>
      </c>
      <c r="G138" s="263"/>
      <c r="H138" s="263">
        <f t="shared" si="17"/>
        <v>500000</v>
      </c>
    </row>
    <row r="139" spans="1:8" ht="15.75" x14ac:dyDescent="0.25">
      <c r="A139" s="310" t="s">
        <v>641</v>
      </c>
      <c r="B139" s="373"/>
      <c r="C139" s="373">
        <v>77036.539999999994</v>
      </c>
      <c r="D139" s="263"/>
      <c r="E139" s="263">
        <v>0</v>
      </c>
      <c r="F139" s="373"/>
      <c r="G139" s="263"/>
      <c r="H139" s="263">
        <f t="shared" si="17"/>
        <v>0</v>
      </c>
    </row>
    <row r="140" spans="1:8" ht="16.5" thickBot="1" x14ac:dyDescent="0.3">
      <c r="A140" s="310" t="s">
        <v>129</v>
      </c>
      <c r="B140" s="518">
        <v>312540.68</v>
      </c>
      <c r="C140" s="518"/>
      <c r="D140" s="421">
        <f>200000+2400000+550000</f>
        <v>3150000</v>
      </c>
      <c r="E140" s="421">
        <v>3150000</v>
      </c>
      <c r="F140" s="518"/>
      <c r="G140" s="421"/>
      <c r="H140" s="263">
        <f t="shared" si="17"/>
        <v>3150000</v>
      </c>
    </row>
    <row r="141" spans="1:8" ht="24" thickBot="1" x14ac:dyDescent="0.4">
      <c r="A141" s="322" t="s">
        <v>130</v>
      </c>
      <c r="B141" s="351">
        <f>B132+B107+B3</f>
        <v>33810133.589999996</v>
      </c>
      <c r="C141" s="351">
        <f>C132+C107+C3</f>
        <v>32345366.07</v>
      </c>
      <c r="D141" s="323">
        <f>D132+D107+D3</f>
        <v>39425380</v>
      </c>
      <c r="E141" s="323">
        <v>40680495</v>
      </c>
      <c r="F141" s="351">
        <f>F132+F107+F3</f>
        <v>13058043.189999999</v>
      </c>
      <c r="G141" s="323">
        <f>G132+G107+G3</f>
        <v>-445580</v>
      </c>
      <c r="H141" s="323">
        <f>E141+G141</f>
        <v>40234915</v>
      </c>
    </row>
    <row r="142" spans="1:8" ht="15.75" x14ac:dyDescent="0.25">
      <c r="A142" s="324"/>
    </row>
  </sheetData>
  <sheetProtection selectLockedCells="1" selectUnlockedCells="1"/>
  <mergeCells count="1">
    <mergeCell ref="A1:H1"/>
  </mergeCells>
  <phoneticPr fontId="0" type="noConversion"/>
  <pageMargins left="1.1811023622047245" right="0" top="0" bottom="0" header="0.51181102362204722" footer="0.51181102362204722"/>
  <pageSetup paperSize="8" scale="68" firstPageNumber="0" fitToHeight="2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202"/>
  <sheetViews>
    <sheetView topLeftCell="B1" zoomScale="82" zoomScaleNormal="82" workbookViewId="0">
      <pane xSplit="2" ySplit="7" topLeftCell="T113" activePane="bottomRight" state="frozen"/>
      <selection activeCell="B1" sqref="B1"/>
      <selection pane="topRight" activeCell="T1" sqref="T1"/>
      <selection pane="bottomLeft" activeCell="B163" sqref="B163"/>
      <selection pane="bottomRight" activeCell="U157" sqref="U157"/>
    </sheetView>
  </sheetViews>
  <sheetFormatPr defaultRowHeight="12.75" outlineLevelRow="1" x14ac:dyDescent="0.2"/>
  <cols>
    <col min="1" max="1" width="0" style="101" hidden="1" customWidth="1"/>
    <col min="2" max="2" width="18.85546875" style="101" customWidth="1"/>
    <col min="3" max="3" width="32.7109375" style="101" customWidth="1"/>
    <col min="4" max="5" width="16" style="352" bestFit="1" customWidth="1"/>
    <col min="6" max="7" width="14.85546875" style="352" bestFit="1" customWidth="1"/>
    <col min="8" max="9" width="16" style="352" bestFit="1" customWidth="1"/>
    <col min="10" max="11" width="14.85546875" style="352" customWidth="1"/>
    <col min="12" max="13" width="16" style="102" bestFit="1" customWidth="1"/>
    <col min="14" max="19" width="14.85546875" style="102" customWidth="1"/>
    <col min="20" max="31" width="14.85546875" style="352" customWidth="1"/>
    <col min="32" max="16384" width="9.140625" style="101"/>
  </cols>
  <sheetData>
    <row r="1" spans="1:31" ht="27.75" customHeight="1" x14ac:dyDescent="0.2">
      <c r="A1" s="121"/>
      <c r="B1" s="838" t="s">
        <v>752</v>
      </c>
      <c r="C1" s="838"/>
      <c r="D1" s="838"/>
      <c r="E1" s="838"/>
      <c r="F1" s="838"/>
      <c r="G1" s="838"/>
      <c r="H1" s="838"/>
      <c r="I1" s="838"/>
      <c r="J1" s="838"/>
      <c r="K1" s="838"/>
      <c r="L1" s="838"/>
      <c r="M1" s="838"/>
      <c r="N1" s="838"/>
      <c r="O1" s="838"/>
      <c r="P1" s="838"/>
      <c r="Q1" s="838"/>
      <c r="R1" s="838"/>
      <c r="S1" s="838"/>
      <c r="T1" s="838"/>
      <c r="U1" s="838"/>
      <c r="V1" s="838"/>
      <c r="W1" s="838"/>
      <c r="X1" s="838"/>
      <c r="Y1" s="838"/>
      <c r="Z1" s="838"/>
      <c r="AA1" s="838"/>
      <c r="AB1" s="838"/>
      <c r="AC1" s="838"/>
      <c r="AD1" s="838"/>
      <c r="AE1" s="838"/>
    </row>
    <row r="2" spans="1:31" ht="7.5" customHeight="1" thickBot="1" x14ac:dyDescent="0.25">
      <c r="A2" s="121"/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838"/>
      <c r="O2" s="838"/>
      <c r="P2" s="838"/>
      <c r="Q2" s="838"/>
      <c r="R2" s="838"/>
      <c r="S2" s="838"/>
      <c r="T2" s="838"/>
      <c r="U2" s="838"/>
      <c r="V2" s="838"/>
      <c r="W2" s="838"/>
      <c r="X2" s="838"/>
      <c r="Y2" s="838"/>
      <c r="Z2" s="838"/>
      <c r="AA2" s="838"/>
      <c r="AB2" s="838"/>
      <c r="AC2" s="838"/>
      <c r="AD2" s="838"/>
      <c r="AE2" s="838"/>
    </row>
    <row r="3" spans="1:31" ht="13.5" customHeight="1" thickBot="1" x14ac:dyDescent="0.25">
      <c r="A3" s="121"/>
      <c r="D3" s="816" t="s">
        <v>624</v>
      </c>
      <c r="E3" s="817"/>
      <c r="F3" s="817"/>
      <c r="G3" s="818"/>
      <c r="H3" s="816" t="s">
        <v>638</v>
      </c>
      <c r="I3" s="817"/>
      <c r="J3" s="817"/>
      <c r="K3" s="818"/>
      <c r="L3" s="822" t="s">
        <v>728</v>
      </c>
      <c r="M3" s="823"/>
      <c r="N3" s="823"/>
      <c r="O3" s="823"/>
      <c r="P3" s="830" t="s">
        <v>723</v>
      </c>
      <c r="Q3" s="831"/>
      <c r="R3" s="831"/>
      <c r="S3" s="832"/>
      <c r="T3" s="826" t="s">
        <v>727</v>
      </c>
      <c r="U3" s="826"/>
      <c r="V3" s="826"/>
      <c r="W3" s="827"/>
      <c r="X3" s="836" t="s">
        <v>725</v>
      </c>
      <c r="Y3" s="826"/>
      <c r="Z3" s="826"/>
      <c r="AA3" s="827"/>
      <c r="AB3" s="836" t="s">
        <v>726</v>
      </c>
      <c r="AC3" s="826"/>
      <c r="AD3" s="826"/>
      <c r="AE3" s="827"/>
    </row>
    <row r="4" spans="1:31" ht="21" customHeight="1" x14ac:dyDescent="0.2">
      <c r="A4" s="121"/>
      <c r="B4" s="839" t="s">
        <v>405</v>
      </c>
      <c r="C4" s="840"/>
      <c r="D4" s="819"/>
      <c r="E4" s="820"/>
      <c r="F4" s="820"/>
      <c r="G4" s="821"/>
      <c r="H4" s="819"/>
      <c r="I4" s="820"/>
      <c r="J4" s="820"/>
      <c r="K4" s="821"/>
      <c r="L4" s="824"/>
      <c r="M4" s="825"/>
      <c r="N4" s="825"/>
      <c r="O4" s="825"/>
      <c r="P4" s="833"/>
      <c r="Q4" s="834"/>
      <c r="R4" s="834"/>
      <c r="S4" s="835"/>
      <c r="T4" s="828"/>
      <c r="U4" s="828"/>
      <c r="V4" s="828"/>
      <c r="W4" s="829"/>
      <c r="X4" s="837"/>
      <c r="Y4" s="828"/>
      <c r="Z4" s="828"/>
      <c r="AA4" s="829"/>
      <c r="AB4" s="837"/>
      <c r="AC4" s="828"/>
      <c r="AD4" s="828"/>
      <c r="AE4" s="829"/>
    </row>
    <row r="5" spans="1:31" ht="24.75" thickBot="1" x14ac:dyDescent="0.25">
      <c r="A5" s="121"/>
      <c r="B5" s="841"/>
      <c r="C5" s="842"/>
      <c r="D5" s="548" t="s">
        <v>395</v>
      </c>
      <c r="E5" s="549" t="s">
        <v>408</v>
      </c>
      <c r="F5" s="549" t="s">
        <v>409</v>
      </c>
      <c r="G5" s="550" t="s">
        <v>400</v>
      </c>
      <c r="H5" s="548" t="s">
        <v>395</v>
      </c>
      <c r="I5" s="549" t="s">
        <v>408</v>
      </c>
      <c r="J5" s="549" t="s">
        <v>409</v>
      </c>
      <c r="K5" s="550" t="s">
        <v>400</v>
      </c>
      <c r="L5" s="357" t="s">
        <v>395</v>
      </c>
      <c r="M5" s="359" t="s">
        <v>408</v>
      </c>
      <c r="N5" s="359" t="s">
        <v>409</v>
      </c>
      <c r="O5" s="380" t="s">
        <v>400</v>
      </c>
      <c r="P5" s="799" t="s">
        <v>395</v>
      </c>
      <c r="Q5" s="800" t="s">
        <v>408</v>
      </c>
      <c r="R5" s="800" t="s">
        <v>409</v>
      </c>
      <c r="S5" s="801" t="s">
        <v>400</v>
      </c>
      <c r="T5" s="549" t="s">
        <v>395</v>
      </c>
      <c r="U5" s="549" t="s">
        <v>408</v>
      </c>
      <c r="V5" s="549" t="s">
        <v>409</v>
      </c>
      <c r="W5" s="550" t="s">
        <v>400</v>
      </c>
      <c r="X5" s="549" t="s">
        <v>395</v>
      </c>
      <c r="Y5" s="549" t="s">
        <v>408</v>
      </c>
      <c r="Z5" s="549" t="s">
        <v>409</v>
      </c>
      <c r="AA5" s="550" t="s">
        <v>400</v>
      </c>
      <c r="AB5" s="548" t="s">
        <v>395</v>
      </c>
      <c r="AC5" s="549" t="s">
        <v>408</v>
      </c>
      <c r="AD5" s="549" t="s">
        <v>409</v>
      </c>
      <c r="AE5" s="550" t="s">
        <v>400</v>
      </c>
    </row>
    <row r="6" spans="1:31" ht="24" customHeight="1" thickBot="1" x14ac:dyDescent="0.3">
      <c r="A6" s="121"/>
      <c r="B6" s="407" t="s">
        <v>147</v>
      </c>
      <c r="C6" s="408"/>
      <c r="D6" s="551">
        <f t="shared" ref="D6:G6" si="0">D8+D22+D36+D46+D52+D68+D76+D91+D95+D120+D131+D140+D152+D179+D180</f>
        <v>33018690.390000001</v>
      </c>
      <c r="E6" s="552">
        <f t="shared" si="0"/>
        <v>25714704.720000003</v>
      </c>
      <c r="F6" s="552">
        <f t="shared" si="0"/>
        <v>2085674.76</v>
      </c>
      <c r="G6" s="553">
        <f t="shared" si="0"/>
        <v>5218310.91</v>
      </c>
      <c r="H6" s="551">
        <f t="shared" ref="H6:K6" si="1">H8+H22+H36+H46+H52+H68+H76+H91+H95+H120+H131+H140+H152+H179+H180</f>
        <v>31771345.120000001</v>
      </c>
      <c r="I6" s="552">
        <f t="shared" si="1"/>
        <v>27522208.229999997</v>
      </c>
      <c r="J6" s="552">
        <f t="shared" si="1"/>
        <v>3462597.8699999996</v>
      </c>
      <c r="K6" s="553">
        <f t="shared" si="1"/>
        <v>786539.02</v>
      </c>
      <c r="L6" s="358">
        <f>L8+L22+L36+L46+L52+L68+L76+L91+L95+L120+L131+L140+L152+L179+L180</f>
        <v>39425380</v>
      </c>
      <c r="M6" s="519">
        <f t="shared" ref="M6:O6" si="2">M8+M22+M36+M46+M52+M68+M76+M91+M95+M120+M131+M140+M152+M179+M180</f>
        <v>30612850</v>
      </c>
      <c r="N6" s="519">
        <f t="shared" si="2"/>
        <v>7499180</v>
      </c>
      <c r="O6" s="381">
        <f t="shared" si="2"/>
        <v>1313350</v>
      </c>
      <c r="P6" s="797">
        <f>P8+P22+P36+P46+P52+P68+P76+P91+P95+P120+P131+P140+P152+P179+P180</f>
        <v>40680495</v>
      </c>
      <c r="Q6" s="798">
        <f t="shared" ref="Q6:S6" si="3">Q8+Q22+Q36+Q46+Q52+Q68+Q76+Q91+Q95+Q120+Q131+Q140+Q152+Q179+Q180</f>
        <v>31035116</v>
      </c>
      <c r="R6" s="798">
        <f t="shared" si="3"/>
        <v>8332029</v>
      </c>
      <c r="S6" s="802">
        <f t="shared" si="3"/>
        <v>1313350</v>
      </c>
      <c r="T6" s="360">
        <f>T8+T22+T36+T46+T52+T68+T76+T91+T95+T120+T131+T140+T152+T179+T180</f>
        <v>11614332.57</v>
      </c>
      <c r="U6" s="519">
        <f t="shared" ref="U6:W6" si="4">U8+U22+U36+U46+U52+U68+U76+U91+U95+U120+U131+U140+U152+U179+U180</f>
        <v>9565983.6600000001</v>
      </c>
      <c r="V6" s="519">
        <f t="shared" si="4"/>
        <v>1728855.25</v>
      </c>
      <c r="W6" s="406">
        <f t="shared" si="4"/>
        <v>319493.66000000003</v>
      </c>
      <c r="X6" s="360">
        <f>X8+X22+X36+X46+X52+X68+X76+X91+X95+X120+X131+X140+X152+X179+X180</f>
        <v>-445580</v>
      </c>
      <c r="Y6" s="519">
        <f t="shared" ref="Y6:AA6" si="5">Y8+Y22+Y36+Y46+Y52+Y68+Y76+Y91+Y95+Y120+Y131+Y140+Y152+Y179+Y180</f>
        <v>-36521</v>
      </c>
      <c r="Z6" s="519">
        <f t="shared" si="5"/>
        <v>-409059</v>
      </c>
      <c r="AA6" s="406">
        <f t="shared" si="5"/>
        <v>0</v>
      </c>
      <c r="AB6" s="358">
        <f>AB8+AB22+AB36+AB46+AB52+AB68+AB76+AB91+AB95+AB120+AB131+AB140+AB152+AB179+AB180</f>
        <v>40234915</v>
      </c>
      <c r="AC6" s="519">
        <f t="shared" ref="AC6:AE6" si="6">AC8+AC22+AC36+AC46+AC52+AC68+AC76+AC91+AC95+AC120+AC131+AC140+AC152+AC179+AC180</f>
        <v>30998595</v>
      </c>
      <c r="AD6" s="519">
        <f t="shared" si="6"/>
        <v>7922970</v>
      </c>
      <c r="AE6" s="406">
        <f t="shared" si="6"/>
        <v>1313350</v>
      </c>
    </row>
    <row r="7" spans="1:31" ht="13.5" thickBot="1" x14ac:dyDescent="0.25">
      <c r="A7" s="121"/>
      <c r="B7" s="253" t="s">
        <v>148</v>
      </c>
      <c r="C7" s="254"/>
      <c r="D7" s="554"/>
      <c r="E7" s="555"/>
      <c r="F7" s="555"/>
      <c r="G7" s="556"/>
      <c r="H7" s="554"/>
      <c r="I7" s="639"/>
      <c r="J7" s="639"/>
      <c r="K7" s="556"/>
      <c r="L7" s="382"/>
      <c r="M7" s="361"/>
      <c r="N7" s="361"/>
      <c r="O7" s="383"/>
      <c r="P7" s="382"/>
      <c r="Q7" s="361"/>
      <c r="R7" s="361"/>
      <c r="S7" s="383"/>
      <c r="T7" s="382"/>
      <c r="U7" s="361"/>
      <c r="V7" s="361"/>
      <c r="W7" s="383"/>
      <c r="X7" s="382"/>
      <c r="Y7" s="361"/>
      <c r="Z7" s="361"/>
      <c r="AA7" s="383"/>
      <c r="AB7" s="382"/>
      <c r="AC7" s="361"/>
      <c r="AD7" s="361"/>
      <c r="AE7" s="383"/>
    </row>
    <row r="8" spans="1:31" ht="15.75" x14ac:dyDescent="0.25">
      <c r="A8" s="121"/>
      <c r="B8" s="271" t="s">
        <v>149</v>
      </c>
      <c r="C8" s="272"/>
      <c r="D8" s="557">
        <f t="shared" ref="D8:G8" si="7">D9+D14+D18+D19+D20+D21</f>
        <v>430251.16000000003</v>
      </c>
      <c r="E8" s="558">
        <f t="shared" si="7"/>
        <v>393253.72</v>
      </c>
      <c r="F8" s="558">
        <f t="shared" si="7"/>
        <v>36997.440000000002</v>
      </c>
      <c r="G8" s="559">
        <f t="shared" si="7"/>
        <v>0</v>
      </c>
      <c r="H8" s="557">
        <f t="shared" ref="H8:K8" si="8">H9+H14+H18+H19+H20+H21</f>
        <v>416981.27</v>
      </c>
      <c r="I8" s="558">
        <f t="shared" si="8"/>
        <v>404647.31</v>
      </c>
      <c r="J8" s="558">
        <f t="shared" si="8"/>
        <v>12333.96</v>
      </c>
      <c r="K8" s="559">
        <f t="shared" si="8"/>
        <v>0</v>
      </c>
      <c r="L8" s="267">
        <f t="shared" ref="L8:R8" si="9">L9+L14+L18+L19+L20+L21</f>
        <v>590270</v>
      </c>
      <c r="M8" s="268">
        <f t="shared" si="9"/>
        <v>540270</v>
      </c>
      <c r="N8" s="268">
        <f t="shared" si="9"/>
        <v>50000</v>
      </c>
      <c r="O8" s="355">
        <f t="shared" si="9"/>
        <v>0</v>
      </c>
      <c r="P8" s="267">
        <f t="shared" si="9"/>
        <v>590645</v>
      </c>
      <c r="Q8" s="268">
        <f t="shared" si="9"/>
        <v>537945</v>
      </c>
      <c r="R8" s="268">
        <f t="shared" si="9"/>
        <v>52700</v>
      </c>
      <c r="S8" s="355">
        <f>S9+S14+S18+S19+S20+S21</f>
        <v>0</v>
      </c>
      <c r="T8" s="267">
        <f t="shared" ref="T8:V8" si="10">T9+T14+T18+T19+T20+T21</f>
        <v>140683.94</v>
      </c>
      <c r="U8" s="268">
        <f t="shared" si="10"/>
        <v>132010.29999999999</v>
      </c>
      <c r="V8" s="268">
        <f t="shared" si="10"/>
        <v>8673.64</v>
      </c>
      <c r="W8" s="355">
        <f>W9+W14+W18+W19+W20+W21</f>
        <v>0</v>
      </c>
      <c r="X8" s="267">
        <f t="shared" ref="X8:Z8" si="11">X9+X14+X18+X19+X20+X21</f>
        <v>-10000</v>
      </c>
      <c r="Y8" s="268">
        <f t="shared" si="11"/>
        <v>-10000</v>
      </c>
      <c r="Z8" s="268">
        <f t="shared" si="11"/>
        <v>0</v>
      </c>
      <c r="AA8" s="355">
        <f>AA9+AA14+AA18+AA19+AA20+AA21</f>
        <v>0</v>
      </c>
      <c r="AB8" s="267">
        <f t="shared" ref="AB8:AD8" si="12">AB9+AB14+AB18+AB19+AB20+AB21</f>
        <v>580645</v>
      </c>
      <c r="AC8" s="268">
        <f t="shared" si="12"/>
        <v>527945</v>
      </c>
      <c r="AD8" s="268">
        <f t="shared" si="12"/>
        <v>52700</v>
      </c>
      <c r="AE8" s="355">
        <f>AE9+AE14+AE18+AE19+AE20+AE21</f>
        <v>0</v>
      </c>
    </row>
    <row r="9" spans="1:31" ht="15.75" x14ac:dyDescent="0.25">
      <c r="A9" s="121"/>
      <c r="B9" s="273" t="s">
        <v>150</v>
      </c>
      <c r="C9" s="274" t="s">
        <v>151</v>
      </c>
      <c r="D9" s="560">
        <f>SUM(D10:D13)</f>
        <v>275898.49</v>
      </c>
      <c r="E9" s="561">
        <f t="shared" ref="E9:G9" si="13">SUM(E10:E13)</f>
        <v>275898.49</v>
      </c>
      <c r="F9" s="561">
        <f t="shared" si="13"/>
        <v>0</v>
      </c>
      <c r="G9" s="562">
        <f t="shared" si="13"/>
        <v>0</v>
      </c>
      <c r="H9" s="560">
        <f>SUM(H10:H13)</f>
        <v>272900.28000000003</v>
      </c>
      <c r="I9" s="561">
        <f t="shared" ref="I9:K9" si="14">SUM(I10:I13)</f>
        <v>272900.28000000003</v>
      </c>
      <c r="J9" s="561">
        <f t="shared" si="14"/>
        <v>0</v>
      </c>
      <c r="K9" s="562">
        <f t="shared" si="14"/>
        <v>0</v>
      </c>
      <c r="L9" s="261">
        <f>SUM(L10:L13)</f>
        <v>354420</v>
      </c>
      <c r="M9" s="259">
        <f t="shared" ref="M9:O9" si="15">SUM(M10:M13)</f>
        <v>354420</v>
      </c>
      <c r="N9" s="259">
        <f t="shared" si="15"/>
        <v>0</v>
      </c>
      <c r="O9" s="356">
        <f t="shared" si="15"/>
        <v>0</v>
      </c>
      <c r="P9" s="261">
        <f>SUM(P10:P13)</f>
        <v>354420</v>
      </c>
      <c r="Q9" s="259">
        <f t="shared" ref="Q9:S9" si="16">SUM(Q10:Q13)</f>
        <v>354420</v>
      </c>
      <c r="R9" s="259">
        <f t="shared" si="16"/>
        <v>0</v>
      </c>
      <c r="S9" s="356">
        <f t="shared" si="16"/>
        <v>0</v>
      </c>
      <c r="T9" s="261">
        <f>SUM(T10:T13)</f>
        <v>98053.18</v>
      </c>
      <c r="U9" s="259">
        <f t="shared" ref="U9:W9" si="17">SUM(U10:U13)</f>
        <v>98053.18</v>
      </c>
      <c r="V9" s="259">
        <f t="shared" si="17"/>
        <v>0</v>
      </c>
      <c r="W9" s="356">
        <f t="shared" si="17"/>
        <v>0</v>
      </c>
      <c r="X9" s="261">
        <f>SUM(X10:X13)</f>
        <v>0</v>
      </c>
      <c r="Y9" s="259">
        <f t="shared" ref="Y9:AA9" si="18">SUM(Y10:Y13)</f>
        <v>0</v>
      </c>
      <c r="Z9" s="259">
        <f t="shared" si="18"/>
        <v>0</v>
      </c>
      <c r="AA9" s="356">
        <f t="shared" si="18"/>
        <v>0</v>
      </c>
      <c r="AB9" s="261">
        <f>SUM(AB10:AB13)</f>
        <v>354420</v>
      </c>
      <c r="AC9" s="259">
        <f t="shared" ref="AC9:AE9" si="19">SUM(AC10:AC13)</f>
        <v>354420</v>
      </c>
      <c r="AD9" s="259">
        <f t="shared" si="19"/>
        <v>0</v>
      </c>
      <c r="AE9" s="356">
        <f t="shared" si="19"/>
        <v>0</v>
      </c>
    </row>
    <row r="10" spans="1:31" ht="15.75" x14ac:dyDescent="0.25">
      <c r="A10" s="121"/>
      <c r="B10" s="273">
        <v>1</v>
      </c>
      <c r="C10" s="274" t="s">
        <v>152</v>
      </c>
      <c r="D10" s="560">
        <f>SUM(E10:G10)</f>
        <v>118255.07999999999</v>
      </c>
      <c r="E10" s="561">
        <f>'[1]1.Plánovanie, manažment a kontr'!$AF$5</f>
        <v>118255.07999999999</v>
      </c>
      <c r="F10" s="561">
        <f>'[1]1.Plánovanie, manažment a kontr'!$AG$5</f>
        <v>0</v>
      </c>
      <c r="G10" s="562">
        <f>'[1]1.Plánovanie, manažment a kontr'!$AH$5</f>
        <v>0</v>
      </c>
      <c r="H10" s="560">
        <f>SUM(I10:K10)</f>
        <v>111421.81999999999</v>
      </c>
      <c r="I10" s="561">
        <f>'[2]1.Plánovanie, manažment a kontr'!$AI$5</f>
        <v>111421.81999999999</v>
      </c>
      <c r="J10" s="561">
        <f>'[2]1.Plánovanie, manažment a kontr'!$AJ$5</f>
        <v>0</v>
      </c>
      <c r="K10" s="562">
        <f>'[2]1.Plánovanie, manažment a kontr'!$AK$5</f>
        <v>0</v>
      </c>
      <c r="L10" s="261">
        <f>SUM(M10:O10)</f>
        <v>159300</v>
      </c>
      <c r="M10" s="259">
        <f>'[3]1.Plánovanie, manažment a kontr'!$AI$5</f>
        <v>159300</v>
      </c>
      <c r="N10" s="259">
        <f>'[3]1.Plánovanie, manažment a kontr'!$AJ$5</f>
        <v>0</v>
      </c>
      <c r="O10" s="356">
        <f>'[3]1.Plánovanie, manažment a kontr'!$AK$5</f>
        <v>0</v>
      </c>
      <c r="P10" s="261">
        <f>SUM(Q10:S10)</f>
        <v>159300</v>
      </c>
      <c r="Q10" s="259">
        <f>'[4]1.Plánovanie, manažment a kontr'!$AL$5</f>
        <v>159300</v>
      </c>
      <c r="R10" s="259">
        <f>'[4]1.Plánovanie, manažment a kontr'!$AM$5</f>
        <v>0</v>
      </c>
      <c r="S10" s="259">
        <f>'[4]1.Plánovanie, manažment a kontr'!$AN$5</f>
        <v>0</v>
      </c>
      <c r="T10" s="261">
        <f>SUM(U10:W10)</f>
        <v>37262.5</v>
      </c>
      <c r="U10" s="259">
        <f>'[4]1.Plánovanie, manažment a kontr'!$AO$5</f>
        <v>37262.5</v>
      </c>
      <c r="V10" s="259">
        <f>'[4]1.Plánovanie, manažment a kontr'!$AP$5</f>
        <v>0</v>
      </c>
      <c r="W10" s="259">
        <f>'[4]1.Plánovanie, manažment a kontr'!$AQ$5</f>
        <v>0</v>
      </c>
      <c r="X10" s="261">
        <f>SUM(Y10:AA10)</f>
        <v>0</v>
      </c>
      <c r="Y10" s="259">
        <f>'[4]1.Plánovanie, manažment a kontr'!$AR$5</f>
        <v>0</v>
      </c>
      <c r="Z10" s="259">
        <f>'[4]1.Plánovanie, manažment a kontr'!$AS$5</f>
        <v>0</v>
      </c>
      <c r="AA10" s="259">
        <f>'[4]1.Plánovanie, manažment a kontr'!$AT$5</f>
        <v>0</v>
      </c>
      <c r="AB10" s="261">
        <f>SUM(AC10:AE10)</f>
        <v>159300</v>
      </c>
      <c r="AC10" s="259">
        <f>'[4]1.Plánovanie, manažment a kontr'!$AU$5</f>
        <v>159300</v>
      </c>
      <c r="AD10" s="259">
        <f>'[4]1.Plánovanie, manažment a kontr'!$AV$5</f>
        <v>0</v>
      </c>
      <c r="AE10" s="260">
        <f>'[4]1.Plánovanie, manažment a kontr'!$AW$5</f>
        <v>0</v>
      </c>
    </row>
    <row r="11" spans="1:31" ht="15.75" x14ac:dyDescent="0.25">
      <c r="A11" s="122"/>
      <c r="B11" s="273">
        <v>2</v>
      </c>
      <c r="C11" s="274" t="s">
        <v>153</v>
      </c>
      <c r="D11" s="560">
        <f>SUM(E11:G11)</f>
        <v>49824.71</v>
      </c>
      <c r="E11" s="561">
        <f>'[1]1.Plánovanie, manažment a kontr'!$AF$17</f>
        <v>49824.71</v>
      </c>
      <c r="F11" s="561">
        <f>'[1]1.Plánovanie, manažment a kontr'!$AG$17</f>
        <v>0</v>
      </c>
      <c r="G11" s="562">
        <f>'[1]1.Plánovanie, manažment a kontr'!$AH$17</f>
        <v>0</v>
      </c>
      <c r="H11" s="560">
        <f>SUM(I11:K11)</f>
        <v>50056</v>
      </c>
      <c r="I11" s="561">
        <f>'[2]1.Plánovanie, manažment a kontr'!$AI$17</f>
        <v>50056</v>
      </c>
      <c r="J11" s="561">
        <f>'[2]1.Plánovanie, manažment a kontr'!$AJ$17</f>
        <v>0</v>
      </c>
      <c r="K11" s="562">
        <f>'[2]1.Plánovanie, manažment a kontr'!$AK$17</f>
        <v>0</v>
      </c>
      <c r="L11" s="261">
        <f>SUM(M11:O11)</f>
        <v>53150</v>
      </c>
      <c r="M11" s="259">
        <f>'[3]1.Plánovanie, manažment a kontr'!$AI$17</f>
        <v>53150</v>
      </c>
      <c r="N11" s="259">
        <f>'[3]1.Plánovanie, manažment a kontr'!$AJ$17</f>
        <v>0</v>
      </c>
      <c r="O11" s="356">
        <f>'[3]1.Plánovanie, manažment a kontr'!$AK$17</f>
        <v>0</v>
      </c>
      <c r="P11" s="261">
        <f>SUM(Q11:S11)</f>
        <v>53150</v>
      </c>
      <c r="Q11" s="259">
        <f>'[4]1.Plánovanie, manažment a kontr'!$AL$17</f>
        <v>53150</v>
      </c>
      <c r="R11" s="259">
        <f>'[4]1.Plánovanie, manažment a kontr'!$AM$17</f>
        <v>0</v>
      </c>
      <c r="S11" s="259">
        <f>'[4]1.Plánovanie, manažment a kontr'!$AN$17</f>
        <v>0</v>
      </c>
      <c r="T11" s="261">
        <f>SUM(U11:W11)</f>
        <v>16723.779999999995</v>
      </c>
      <c r="U11" s="259">
        <f>'[4]1.Plánovanie, manažment a kontr'!$AO$17</f>
        <v>16723.779999999995</v>
      </c>
      <c r="V11" s="259">
        <f>'[4]1.Plánovanie, manažment a kontr'!$AP$17</f>
        <v>0</v>
      </c>
      <c r="W11" s="259">
        <f>'[4]1.Plánovanie, manažment a kontr'!$AQ$17</f>
        <v>0</v>
      </c>
      <c r="X11" s="261">
        <f>SUM(Y11:AA11)</f>
        <v>0</v>
      </c>
      <c r="Y11" s="259">
        <f>'[4]1.Plánovanie, manažment a kontr'!$AR$17</f>
        <v>0</v>
      </c>
      <c r="Z11" s="259">
        <f>'[4]1.Plánovanie, manažment a kontr'!$AS$17</f>
        <v>0</v>
      </c>
      <c r="AA11" s="259">
        <f>'[4]1.Plánovanie, manažment a kontr'!$AT$17</f>
        <v>0</v>
      </c>
      <c r="AB11" s="261">
        <f>SUM(AC11:AE11)</f>
        <v>53150</v>
      </c>
      <c r="AC11" s="259">
        <f>'[4]1.Plánovanie, manažment a kontr'!$AU$17</f>
        <v>53150</v>
      </c>
      <c r="AD11" s="259">
        <f>'[4]1.Plánovanie, manažment a kontr'!$AV$17</f>
        <v>0</v>
      </c>
      <c r="AE11" s="260">
        <f>'[4]1.Plánovanie, manažment a kontr'!$AW$17</f>
        <v>0</v>
      </c>
    </row>
    <row r="12" spans="1:31" ht="15.75" x14ac:dyDescent="0.25">
      <c r="A12" s="122"/>
      <c r="B12" s="273">
        <v>3</v>
      </c>
      <c r="C12" s="274" t="s">
        <v>154</v>
      </c>
      <c r="D12" s="560">
        <f>SUM(E12:G12)</f>
        <v>107818.70000000001</v>
      </c>
      <c r="E12" s="561">
        <f>'[1]1.Plánovanie, manažment a kontr'!$AF$28</f>
        <v>107818.70000000001</v>
      </c>
      <c r="F12" s="561">
        <f>'[1]1.Plánovanie, manažment a kontr'!$AG$28</f>
        <v>0</v>
      </c>
      <c r="G12" s="562">
        <f>'[1]1.Plánovanie, manažment a kontr'!$AH$28</f>
        <v>0</v>
      </c>
      <c r="H12" s="560">
        <f>SUM(I12:K12)</f>
        <v>111422.45999999999</v>
      </c>
      <c r="I12" s="561">
        <f>'[2]1.Plánovanie, manažment a kontr'!$AI$28</f>
        <v>111422.45999999999</v>
      </c>
      <c r="J12" s="561">
        <f>'[2]1.Plánovanie, manažment a kontr'!$AJ$28</f>
        <v>0</v>
      </c>
      <c r="K12" s="562">
        <f>'[2]1.Plánovanie, manažment a kontr'!$AK$28</f>
        <v>0</v>
      </c>
      <c r="L12" s="261">
        <f>SUM(M12:O12)</f>
        <v>141970</v>
      </c>
      <c r="M12" s="259">
        <f>'[3]1.Plánovanie, manažment a kontr'!$AI$28</f>
        <v>141970</v>
      </c>
      <c r="N12" s="259">
        <f>'[3]1.Plánovanie, manažment a kontr'!$AJ$28</f>
        <v>0</v>
      </c>
      <c r="O12" s="356">
        <f>'[3]1.Plánovanie, manažment a kontr'!$AK$28</f>
        <v>0</v>
      </c>
      <c r="P12" s="261">
        <f>SUM(Q12:S12)</f>
        <v>141970</v>
      </c>
      <c r="Q12" s="259">
        <f>'[4]1.Plánovanie, manažment a kontr'!$AL$28</f>
        <v>141970</v>
      </c>
      <c r="R12" s="259">
        <f>'[4]1.Plánovanie, manažment a kontr'!$AM$28</f>
        <v>0</v>
      </c>
      <c r="S12" s="259">
        <f>'[4]1.Plánovanie, manažment a kontr'!$AN$28</f>
        <v>0</v>
      </c>
      <c r="T12" s="261">
        <f>SUM(U12:W12)</f>
        <v>44066.9</v>
      </c>
      <c r="U12" s="259">
        <f>'[4]1.Plánovanie, manažment a kontr'!$AO$28</f>
        <v>44066.9</v>
      </c>
      <c r="V12" s="259">
        <f>'[4]1.Plánovanie, manažment a kontr'!$AP$28</f>
        <v>0</v>
      </c>
      <c r="W12" s="259">
        <f>'[4]1.Plánovanie, manažment a kontr'!$AQ$28</f>
        <v>0</v>
      </c>
      <c r="X12" s="261">
        <f>SUM(Y12:AA12)</f>
        <v>0</v>
      </c>
      <c r="Y12" s="259">
        <f>'[4]1.Plánovanie, manažment a kontr'!$AR$28</f>
        <v>0</v>
      </c>
      <c r="Z12" s="259">
        <f>'[4]1.Plánovanie, manažment a kontr'!$AS$28</f>
        <v>0</v>
      </c>
      <c r="AA12" s="259">
        <f>'[4]1.Plánovanie, manažment a kontr'!$AT$28</f>
        <v>0</v>
      </c>
      <c r="AB12" s="261">
        <f>SUM(AC12:AE12)</f>
        <v>141970</v>
      </c>
      <c r="AC12" s="259">
        <f>'[4]1.Plánovanie, manažment a kontr'!$AU$28</f>
        <v>141970</v>
      </c>
      <c r="AD12" s="259">
        <f>'[4]1.Plánovanie, manažment a kontr'!$AV$28</f>
        <v>0</v>
      </c>
      <c r="AE12" s="260">
        <f>'[4]1.Plánovanie, manažment a kontr'!$AW$28</f>
        <v>0</v>
      </c>
    </row>
    <row r="13" spans="1:31" ht="15.75" x14ac:dyDescent="0.25">
      <c r="A13" s="122"/>
      <c r="B13" s="273">
        <v>4</v>
      </c>
      <c r="C13" s="274" t="s">
        <v>155</v>
      </c>
      <c r="D13" s="560">
        <f>SUM(E13:G13)</f>
        <v>0</v>
      </c>
      <c r="E13" s="561">
        <f>'[1]1.Plánovanie, manažment a kontr'!$AF$33</f>
        <v>0</v>
      </c>
      <c r="F13" s="561">
        <f>'[1]1.Plánovanie, manažment a kontr'!$AG$33</f>
        <v>0</v>
      </c>
      <c r="G13" s="562">
        <f>'[1]1.Plánovanie, manažment a kontr'!$AH$33</f>
        <v>0</v>
      </c>
      <c r="H13" s="560">
        <f>SUM(I13:K13)</f>
        <v>0</v>
      </c>
      <c r="I13" s="561">
        <f>'[2]1.Plánovanie, manažment a kontr'!$AI$33</f>
        <v>0</v>
      </c>
      <c r="J13" s="561">
        <f>'[2]1.Plánovanie, manažment a kontr'!$AJ$33</f>
        <v>0</v>
      </c>
      <c r="K13" s="562">
        <f>'[2]1.Plánovanie, manažment a kontr'!$AK$33</f>
        <v>0</v>
      </c>
      <c r="L13" s="261">
        <f>SUM(M13:O13)</f>
        <v>0</v>
      </c>
      <c r="M13" s="259">
        <f>'[3]1.Plánovanie, manažment a kontr'!$AI$33</f>
        <v>0</v>
      </c>
      <c r="N13" s="259">
        <f>'[3]1.Plánovanie, manažment a kontr'!$AJ$33</f>
        <v>0</v>
      </c>
      <c r="O13" s="356">
        <f>'[3]1.Plánovanie, manažment a kontr'!$AK$33</f>
        <v>0</v>
      </c>
      <c r="P13" s="261">
        <f>SUM(Q13:S13)</f>
        <v>0</v>
      </c>
      <c r="Q13" s="259">
        <f>'[4]1.Plánovanie, manažment a kontr'!$AL$33</f>
        <v>0</v>
      </c>
      <c r="R13" s="259">
        <f>'[4]1.Plánovanie, manažment a kontr'!$AM$33</f>
        <v>0</v>
      </c>
      <c r="S13" s="259">
        <f>'[4]1.Plánovanie, manažment a kontr'!$AN$33</f>
        <v>0</v>
      </c>
      <c r="T13" s="261">
        <f>SUM(U13:W13)</f>
        <v>0</v>
      </c>
      <c r="U13" s="259">
        <f>'[4]1.Plánovanie, manažment a kontr'!$AO$33</f>
        <v>0</v>
      </c>
      <c r="V13" s="259">
        <f>'[4]1.Plánovanie, manažment a kontr'!$AP$33</f>
        <v>0</v>
      </c>
      <c r="W13" s="259">
        <f>'[4]1.Plánovanie, manažment a kontr'!$AQ$33</f>
        <v>0</v>
      </c>
      <c r="X13" s="261">
        <f>SUM(Y13:AA13)</f>
        <v>0</v>
      </c>
      <c r="Y13" s="259">
        <f>'[4]1.Plánovanie, manažment a kontr'!$AR$33</f>
        <v>0</v>
      </c>
      <c r="Z13" s="259">
        <f>'[4]1.Plánovanie, manažment a kontr'!$AS$33</f>
        <v>0</v>
      </c>
      <c r="AA13" s="259">
        <f>'[4]1.Plánovanie, manažment a kontr'!$AT$33</f>
        <v>0</v>
      </c>
      <c r="AB13" s="261">
        <f>SUM(AC13:AE13)</f>
        <v>0</v>
      </c>
      <c r="AC13" s="259">
        <f>'[4]1.Plánovanie, manažment a kontr'!$AU$33</f>
        <v>0</v>
      </c>
      <c r="AD13" s="259">
        <f>'[4]1.Plánovanie, manažment a kontr'!$AV$33</f>
        <v>0</v>
      </c>
      <c r="AE13" s="260">
        <f>'[4]1.Plánovanie, manažment a kontr'!$AW$33</f>
        <v>0</v>
      </c>
    </row>
    <row r="14" spans="1:31" ht="15.75" x14ac:dyDescent="0.25">
      <c r="A14" s="122"/>
      <c r="B14" s="273" t="s">
        <v>156</v>
      </c>
      <c r="C14" s="274" t="s">
        <v>157</v>
      </c>
      <c r="D14" s="560">
        <f>SUM(D15:D17)</f>
        <v>55389.820000000007</v>
      </c>
      <c r="E14" s="561">
        <f t="shared" ref="E14:G14" si="20">SUM(E15:E17)</f>
        <v>18392.379999999997</v>
      </c>
      <c r="F14" s="561">
        <f t="shared" si="20"/>
        <v>36997.440000000002</v>
      </c>
      <c r="G14" s="562">
        <f t="shared" si="20"/>
        <v>0</v>
      </c>
      <c r="H14" s="560">
        <f>SUM(H15:H17)</f>
        <v>42233.56</v>
      </c>
      <c r="I14" s="561">
        <f t="shared" ref="I14:K14" si="21">SUM(I15:I17)</f>
        <v>29899.599999999999</v>
      </c>
      <c r="J14" s="561">
        <f t="shared" si="21"/>
        <v>12333.96</v>
      </c>
      <c r="K14" s="562">
        <f t="shared" si="21"/>
        <v>0</v>
      </c>
      <c r="L14" s="261">
        <f>SUM(L15:L17)</f>
        <v>102700</v>
      </c>
      <c r="M14" s="259">
        <f t="shared" ref="M14:O14" si="22">SUM(M15:M17)</f>
        <v>52700</v>
      </c>
      <c r="N14" s="259">
        <f t="shared" si="22"/>
        <v>50000</v>
      </c>
      <c r="O14" s="356">
        <f t="shared" si="22"/>
        <v>0</v>
      </c>
      <c r="P14" s="261">
        <f>SUM(P15:P17)</f>
        <v>103075</v>
      </c>
      <c r="Q14" s="259">
        <f t="shared" ref="Q14:S14" si="23">SUM(Q15:Q17)</f>
        <v>50375</v>
      </c>
      <c r="R14" s="259">
        <f t="shared" si="23"/>
        <v>52700</v>
      </c>
      <c r="S14" s="356">
        <f t="shared" si="23"/>
        <v>0</v>
      </c>
      <c r="T14" s="261">
        <f>SUM(T15:T17)</f>
        <v>12084.14</v>
      </c>
      <c r="U14" s="259">
        <f t="shared" ref="U14:W14" si="24">SUM(U15:U17)</f>
        <v>3410.5</v>
      </c>
      <c r="V14" s="259">
        <f t="shared" si="24"/>
        <v>8673.64</v>
      </c>
      <c r="W14" s="356">
        <f t="shared" si="24"/>
        <v>0</v>
      </c>
      <c r="X14" s="261">
        <f>SUM(X15:X17)</f>
        <v>-10000</v>
      </c>
      <c r="Y14" s="259">
        <f t="shared" ref="Y14:AA14" si="25">SUM(Y15:Y17)</f>
        <v>-10000</v>
      </c>
      <c r="Z14" s="259">
        <f t="shared" si="25"/>
        <v>0</v>
      </c>
      <c r="AA14" s="356">
        <f t="shared" si="25"/>
        <v>0</v>
      </c>
      <c r="AB14" s="261">
        <f>SUM(AB15:AB17)</f>
        <v>93075</v>
      </c>
      <c r="AC14" s="259">
        <f t="shared" ref="AC14:AE14" si="26">SUM(AC15:AC17)</f>
        <v>40375</v>
      </c>
      <c r="AD14" s="259">
        <f t="shared" si="26"/>
        <v>52700</v>
      </c>
      <c r="AE14" s="356">
        <f t="shared" si="26"/>
        <v>0</v>
      </c>
    </row>
    <row r="15" spans="1:31" ht="15.75" x14ac:dyDescent="0.25">
      <c r="A15" s="122"/>
      <c r="B15" s="273">
        <v>1</v>
      </c>
      <c r="C15" s="274" t="s">
        <v>158</v>
      </c>
      <c r="D15" s="560">
        <f>SUM(E15:G15)</f>
        <v>16878.8</v>
      </c>
      <c r="E15" s="561">
        <f>'[1]1.Plánovanie, manažment a kontr'!$AF$41</f>
        <v>16878.8</v>
      </c>
      <c r="F15" s="561">
        <f>'[1]1.Plánovanie, manažment a kontr'!$AG$41</f>
        <v>0</v>
      </c>
      <c r="G15" s="562">
        <f>'[1]1.Plánovanie, manažment a kontr'!$AH$41</f>
        <v>0</v>
      </c>
      <c r="H15" s="560">
        <f>SUM(I15:K15)</f>
        <v>21240.6</v>
      </c>
      <c r="I15" s="561">
        <f>'[2]1.Plánovanie, manažment a kontr'!$AI$41</f>
        <v>21240.6</v>
      </c>
      <c r="J15" s="561">
        <f>'[2]1.Plánovanie, manažment a kontr'!$AJ$41</f>
        <v>0</v>
      </c>
      <c r="K15" s="562">
        <f>'[2]1.Plánovanie, manažment a kontr'!$AK$41</f>
        <v>0</v>
      </c>
      <c r="L15" s="261">
        <f>SUM(M15:O15)</f>
        <v>32200</v>
      </c>
      <c r="M15" s="259">
        <f>'[3]1.Plánovanie, manažment a kontr'!$AI$41</f>
        <v>32200</v>
      </c>
      <c r="N15" s="259">
        <f>'[3]1.Plánovanie, manažment a kontr'!$AJ$41</f>
        <v>0</v>
      </c>
      <c r="O15" s="356">
        <f>'[3]1.Plánovanie, manažment a kontr'!$AK$41</f>
        <v>0</v>
      </c>
      <c r="P15" s="261">
        <f>SUM(Q15:S15)</f>
        <v>29875</v>
      </c>
      <c r="Q15" s="259">
        <f>'[4]1.Plánovanie, manažment a kontr'!$AL$41</f>
        <v>29875</v>
      </c>
      <c r="R15" s="259">
        <f>'[4]1.Plánovanie, manažment a kontr'!$AM$41</f>
        <v>0</v>
      </c>
      <c r="S15" s="259">
        <f>'[4]1.Plánovanie, manažment a kontr'!$AN$41</f>
        <v>0</v>
      </c>
      <c r="T15" s="261">
        <f>SUM(U15:W15)</f>
        <v>3120.5</v>
      </c>
      <c r="U15" s="259">
        <f>'[4]1.Plánovanie, manažment a kontr'!$AO$41</f>
        <v>3120.5</v>
      </c>
      <c r="V15" s="259">
        <f>'[4]1.Plánovanie, manažment a kontr'!$AP$41</f>
        <v>0</v>
      </c>
      <c r="W15" s="259">
        <f>'[4]1.Plánovanie, manažment a kontr'!$AQ$41</f>
        <v>0</v>
      </c>
      <c r="X15" s="261">
        <f>SUM(Y15:AA15)</f>
        <v>-10000</v>
      </c>
      <c r="Y15" s="259">
        <f>'[4]1.Plánovanie, manažment a kontr'!$AR$41</f>
        <v>-10000</v>
      </c>
      <c r="Z15" s="259">
        <f>'[4]1.Plánovanie, manažment a kontr'!$AS$41</f>
        <v>0</v>
      </c>
      <c r="AA15" s="259">
        <f>'[4]1.Plánovanie, manažment a kontr'!$AT$41</f>
        <v>0</v>
      </c>
      <c r="AB15" s="261">
        <f>SUM(AC15:AE15)</f>
        <v>19875</v>
      </c>
      <c r="AC15" s="259">
        <f>'[4]1.Plánovanie, manažment a kontr'!$AU$41</f>
        <v>19875</v>
      </c>
      <c r="AD15" s="259">
        <f>'[4]1.Plánovanie, manažment a kontr'!$AV$41</f>
        <v>0</v>
      </c>
      <c r="AE15" s="260">
        <f>'[4]1.Plánovanie, manažment a kontr'!$AW$41</f>
        <v>0</v>
      </c>
    </row>
    <row r="16" spans="1:31" ht="15.75" x14ac:dyDescent="0.25">
      <c r="A16" s="122"/>
      <c r="B16" s="273">
        <v>2</v>
      </c>
      <c r="C16" s="274" t="s">
        <v>159</v>
      </c>
      <c r="D16" s="560">
        <f t="shared" ref="D16:D21" si="27">SUM(E16:G16)</f>
        <v>0</v>
      </c>
      <c r="E16" s="561">
        <f>'[1]1.Plánovanie, manažment a kontr'!$AF$58</f>
        <v>0</v>
      </c>
      <c r="F16" s="561">
        <f>'[1]1.Plánovanie, manažment a kontr'!$AG$58</f>
        <v>0</v>
      </c>
      <c r="G16" s="562">
        <f>'[1]1.Plánovanie, manažment a kontr'!$AH$58</f>
        <v>0</v>
      </c>
      <c r="H16" s="560">
        <f t="shared" ref="H16:H21" si="28">SUM(I16:K16)</f>
        <v>8639</v>
      </c>
      <c r="I16" s="561">
        <f>'[2]1.Plánovanie, manažment a kontr'!$AI$58</f>
        <v>8639</v>
      </c>
      <c r="J16" s="561">
        <f>'[2]1.Plánovanie, manažment a kontr'!$AJ$58</f>
        <v>0</v>
      </c>
      <c r="K16" s="562">
        <f>'[2]1.Plánovanie, manažment a kontr'!$AK$58</f>
        <v>0</v>
      </c>
      <c r="L16" s="261">
        <f t="shared" ref="L16:L21" si="29">SUM(M16:O16)</f>
        <v>10000</v>
      </c>
      <c r="M16" s="259">
        <f>'[3]1.Plánovanie, manažment a kontr'!$AI$58</f>
        <v>10000</v>
      </c>
      <c r="N16" s="259">
        <f>'[3]1.Plánovanie, manažment a kontr'!$AJ$58</f>
        <v>0</v>
      </c>
      <c r="O16" s="356">
        <f>'[3]1.Plánovanie, manažment a kontr'!$AK$58</f>
        <v>0</v>
      </c>
      <c r="P16" s="261">
        <f t="shared" ref="P16:P21" si="30">SUM(Q16:S16)</f>
        <v>10000</v>
      </c>
      <c r="Q16" s="259">
        <f>'[4]1.Plánovanie, manažment a kontr'!$AL$58</f>
        <v>10000</v>
      </c>
      <c r="R16" s="259">
        <f>'[4]1.Plánovanie, manažment a kontr'!$AM$58</f>
        <v>0</v>
      </c>
      <c r="S16" s="259">
        <f>'[4]1.Plánovanie, manažment a kontr'!$AN$58</f>
        <v>0</v>
      </c>
      <c r="T16" s="261">
        <f t="shared" ref="T16:T21" si="31">SUM(U16:W16)</f>
        <v>290</v>
      </c>
      <c r="U16" s="259">
        <f>'[4]1.Plánovanie, manažment a kontr'!$AO$58</f>
        <v>290</v>
      </c>
      <c r="V16" s="259">
        <f>'[4]1.Plánovanie, manažment a kontr'!$AP$58</f>
        <v>0</v>
      </c>
      <c r="W16" s="259">
        <f>'[4]1.Plánovanie, manažment a kontr'!$AQ$58</f>
        <v>0</v>
      </c>
      <c r="X16" s="261">
        <f t="shared" ref="X16:X21" si="32">SUM(Y16:AA16)</f>
        <v>0</v>
      </c>
      <c r="Y16" s="259">
        <f>'[4]1.Plánovanie, manažment a kontr'!$AR$58</f>
        <v>0</v>
      </c>
      <c r="Z16" s="259">
        <f>'[4]1.Plánovanie, manažment a kontr'!$AS$58</f>
        <v>0</v>
      </c>
      <c r="AA16" s="259">
        <f>'[4]1.Plánovanie, manažment a kontr'!$AT$58</f>
        <v>0</v>
      </c>
      <c r="AB16" s="261">
        <f t="shared" ref="AB16:AB21" si="33">SUM(AC16:AE16)</f>
        <v>10000</v>
      </c>
      <c r="AC16" s="259">
        <f>'[4]1.Plánovanie, manažment a kontr'!$AU$58</f>
        <v>10000</v>
      </c>
      <c r="AD16" s="259">
        <f>'[4]1.Plánovanie, manažment a kontr'!$AV$58</f>
        <v>0</v>
      </c>
      <c r="AE16" s="260">
        <f>'[4]1.Plánovanie, manažment a kontr'!$AW$58</f>
        <v>0</v>
      </c>
    </row>
    <row r="17" spans="1:31" ht="15.75" x14ac:dyDescent="0.25">
      <c r="A17" s="122"/>
      <c r="B17" s="273">
        <v>3</v>
      </c>
      <c r="C17" s="274" t="s">
        <v>160</v>
      </c>
      <c r="D17" s="560">
        <f t="shared" si="27"/>
        <v>38511.020000000004</v>
      </c>
      <c r="E17" s="561">
        <f>'[1]1.Plánovanie, manažment a kontr'!$AF$62</f>
        <v>1513.58</v>
      </c>
      <c r="F17" s="561">
        <f>'[1]1.Plánovanie, manažment a kontr'!$AG$62</f>
        <v>36997.440000000002</v>
      </c>
      <c r="G17" s="562">
        <f>'[1]1.Plánovanie, manažment a kontr'!$AH$62</f>
        <v>0</v>
      </c>
      <c r="H17" s="560">
        <f t="shared" si="28"/>
        <v>12353.96</v>
      </c>
      <c r="I17" s="561">
        <f>'[2]1.Plánovanie, manažment a kontr'!$AI$62</f>
        <v>20</v>
      </c>
      <c r="J17" s="561">
        <f>'[2]1.Plánovanie, manažment a kontr'!$AJ$62</f>
        <v>12333.96</v>
      </c>
      <c r="K17" s="562">
        <f>'[2]1.Plánovanie, manažment a kontr'!$AK$62</f>
        <v>0</v>
      </c>
      <c r="L17" s="261">
        <f t="shared" si="29"/>
        <v>60500</v>
      </c>
      <c r="M17" s="259">
        <f>'[3]1.Plánovanie, manažment a kontr'!$AI$62</f>
        <v>10500</v>
      </c>
      <c r="N17" s="259">
        <f>'[3]1.Plánovanie, manažment a kontr'!$AJ$62</f>
        <v>50000</v>
      </c>
      <c r="O17" s="356">
        <f>'[3]1.Plánovanie, manažment a kontr'!$AK$62</f>
        <v>0</v>
      </c>
      <c r="P17" s="261">
        <f t="shared" si="30"/>
        <v>63200</v>
      </c>
      <c r="Q17" s="259">
        <f>'[4]1.Plánovanie, manažment a kontr'!$AL$62</f>
        <v>10500</v>
      </c>
      <c r="R17" s="259">
        <f>'[4]1.Plánovanie, manažment a kontr'!$AM$62</f>
        <v>52700</v>
      </c>
      <c r="S17" s="259">
        <f>'[4]1.Plánovanie, manažment a kontr'!$AN$62</f>
        <v>0</v>
      </c>
      <c r="T17" s="261">
        <f t="shared" si="31"/>
        <v>8673.64</v>
      </c>
      <c r="U17" s="259">
        <f>'[4]1.Plánovanie, manažment a kontr'!$AO$62</f>
        <v>0</v>
      </c>
      <c r="V17" s="259">
        <f>'[4]1.Plánovanie, manažment a kontr'!$AP$62</f>
        <v>8673.64</v>
      </c>
      <c r="W17" s="259">
        <f>'[4]1.Plánovanie, manažment a kontr'!$AQ$62</f>
        <v>0</v>
      </c>
      <c r="X17" s="261">
        <f t="shared" si="32"/>
        <v>0</v>
      </c>
      <c r="Y17" s="259">
        <f>'[4]1.Plánovanie, manažment a kontr'!$AR$62</f>
        <v>0</v>
      </c>
      <c r="Z17" s="259">
        <f>'[4]1.Plánovanie, manažment a kontr'!$AS$62</f>
        <v>0</v>
      </c>
      <c r="AA17" s="259">
        <f>'[4]1.Plánovanie, manažment a kontr'!$AT$62</f>
        <v>0</v>
      </c>
      <c r="AB17" s="261">
        <f t="shared" si="33"/>
        <v>63200</v>
      </c>
      <c r="AC17" s="259">
        <f>'[4]1.Plánovanie, manažment a kontr'!$AU$62</f>
        <v>10500</v>
      </c>
      <c r="AD17" s="259">
        <f>'[4]1.Plánovanie, manažment a kontr'!$AV$62</f>
        <v>52700</v>
      </c>
      <c r="AE17" s="260">
        <f>'[4]1.Plánovanie, manažment a kontr'!$AW$62</f>
        <v>0</v>
      </c>
    </row>
    <row r="18" spans="1:31" ht="15.75" x14ac:dyDescent="0.25">
      <c r="A18" s="102"/>
      <c r="B18" s="273" t="s">
        <v>161</v>
      </c>
      <c r="C18" s="274" t="s">
        <v>162</v>
      </c>
      <c r="D18" s="560">
        <f t="shared" si="27"/>
        <v>80357.47</v>
      </c>
      <c r="E18" s="561">
        <f>'[1]1.Plánovanie, manažment a kontr'!$AF$79</f>
        <v>80357.47</v>
      </c>
      <c r="F18" s="561">
        <f>'[1]1.Plánovanie, manažment a kontr'!$AG$79</f>
        <v>0</v>
      </c>
      <c r="G18" s="562">
        <f>'[1]1.Plánovanie, manažment a kontr'!$AH$79</f>
        <v>0</v>
      </c>
      <c r="H18" s="560">
        <f t="shared" si="28"/>
        <v>80427.429999999993</v>
      </c>
      <c r="I18" s="561">
        <f>'[2]1.Plánovanie, manažment a kontr'!$AI$79</f>
        <v>80427.429999999993</v>
      </c>
      <c r="J18" s="561">
        <f>'[2]1.Plánovanie, manažment a kontr'!$AJ$79</f>
        <v>0</v>
      </c>
      <c r="K18" s="562">
        <f>'[2]1.Plánovanie, manažment a kontr'!$AK$79</f>
        <v>0</v>
      </c>
      <c r="L18" s="261">
        <f t="shared" si="29"/>
        <v>105800</v>
      </c>
      <c r="M18" s="259">
        <f>'[3]1.Plánovanie, manažment a kontr'!$AI$79</f>
        <v>105800</v>
      </c>
      <c r="N18" s="259">
        <f>'[3]1.Plánovanie, manažment a kontr'!$AJ$79</f>
        <v>0</v>
      </c>
      <c r="O18" s="356">
        <f>'[3]1.Plánovanie, manažment a kontr'!$AK$79</f>
        <v>0</v>
      </c>
      <c r="P18" s="261">
        <f t="shared" si="30"/>
        <v>105800</v>
      </c>
      <c r="Q18" s="259">
        <f>'[4]1.Plánovanie, manažment a kontr'!$AL$79</f>
        <v>105800</v>
      </c>
      <c r="R18" s="259">
        <f>'[4]1.Plánovanie, manažment a kontr'!$AM$79</f>
        <v>0</v>
      </c>
      <c r="S18" s="259">
        <f>'[4]1.Plánovanie, manažment a kontr'!$AN$79</f>
        <v>0</v>
      </c>
      <c r="T18" s="261">
        <f t="shared" si="31"/>
        <v>23214.34</v>
      </c>
      <c r="U18" s="259">
        <f>'[4]1.Plánovanie, manažment a kontr'!$AO$79</f>
        <v>23214.34</v>
      </c>
      <c r="V18" s="259">
        <f>'[4]1.Plánovanie, manažment a kontr'!$AP$79</f>
        <v>0</v>
      </c>
      <c r="W18" s="259">
        <f>'[4]1.Plánovanie, manažment a kontr'!$AQ$79</f>
        <v>0</v>
      </c>
      <c r="X18" s="261">
        <f t="shared" si="32"/>
        <v>0</v>
      </c>
      <c r="Y18" s="259">
        <f>'[4]1.Plánovanie, manažment a kontr'!$AR$79</f>
        <v>0</v>
      </c>
      <c r="Z18" s="259">
        <f>'[4]1.Plánovanie, manažment a kontr'!$AS$79</f>
        <v>0</v>
      </c>
      <c r="AA18" s="259">
        <f>'[4]1.Plánovanie, manažment a kontr'!$AT$79</f>
        <v>0</v>
      </c>
      <c r="AB18" s="261">
        <f t="shared" si="33"/>
        <v>105800</v>
      </c>
      <c r="AC18" s="259">
        <f>'[4]1.Plánovanie, manažment a kontr'!$AU$79</f>
        <v>105800</v>
      </c>
      <c r="AD18" s="259">
        <f>'[4]1.Plánovanie, manažment a kontr'!$AV$79</f>
        <v>0</v>
      </c>
      <c r="AE18" s="260">
        <f>'[4]1.Plánovanie, manažment a kontr'!$AW$79</f>
        <v>0</v>
      </c>
    </row>
    <row r="19" spans="1:31" ht="15.75" x14ac:dyDescent="0.25">
      <c r="A19" s="121"/>
      <c r="B19" s="273" t="s">
        <v>163</v>
      </c>
      <c r="C19" s="274" t="s">
        <v>164</v>
      </c>
      <c r="D19" s="560">
        <f t="shared" si="27"/>
        <v>7488</v>
      </c>
      <c r="E19" s="561">
        <f>'[1]1.Plánovanie, manažment a kontr'!$AF$88</f>
        <v>7488</v>
      </c>
      <c r="F19" s="561">
        <f>'[1]1.Plánovanie, manažment a kontr'!$AG$88</f>
        <v>0</v>
      </c>
      <c r="G19" s="562">
        <f>'[1]1.Plánovanie, manažment a kontr'!$AH$88</f>
        <v>0</v>
      </c>
      <c r="H19" s="560">
        <f t="shared" si="28"/>
        <v>7470</v>
      </c>
      <c r="I19" s="561">
        <f>'[2]1.Plánovanie, manažment a kontr'!$AI$88</f>
        <v>7470</v>
      </c>
      <c r="J19" s="561">
        <f>'[2]1.Plánovanie, manažment a kontr'!$AJ$88</f>
        <v>0</v>
      </c>
      <c r="K19" s="562">
        <f>'[2]1.Plánovanie, manažment a kontr'!$AK$88</f>
        <v>0</v>
      </c>
      <c r="L19" s="261">
        <f t="shared" si="29"/>
        <v>9000</v>
      </c>
      <c r="M19" s="259">
        <f>'[3]1.Plánovanie, manažment a kontr'!$AI$88</f>
        <v>9000</v>
      </c>
      <c r="N19" s="259">
        <f>'[3]1.Plánovanie, manažment a kontr'!$AJ$88</f>
        <v>0</v>
      </c>
      <c r="O19" s="356">
        <f>'[3]1.Plánovanie, manažment a kontr'!$AK$88</f>
        <v>0</v>
      </c>
      <c r="P19" s="261">
        <f t="shared" si="30"/>
        <v>9000</v>
      </c>
      <c r="Q19" s="259">
        <f>'[4]1.Plánovanie, manažment a kontr'!$AL$88</f>
        <v>9000</v>
      </c>
      <c r="R19" s="259">
        <f>'[4]1.Plánovanie, manažment a kontr'!$AM$88</f>
        <v>0</v>
      </c>
      <c r="S19" s="259">
        <f>'[4]1.Plánovanie, manažment a kontr'!$AN$88</f>
        <v>0</v>
      </c>
      <c r="T19" s="261">
        <f t="shared" si="31"/>
        <v>2600</v>
      </c>
      <c r="U19" s="259">
        <f>'[4]1.Plánovanie, manažment a kontr'!$AO$88</f>
        <v>2600</v>
      </c>
      <c r="V19" s="259">
        <f>'[4]1.Plánovanie, manažment a kontr'!$AP$88</f>
        <v>0</v>
      </c>
      <c r="W19" s="259">
        <f>'[4]1.Plánovanie, manažment a kontr'!$AQ$88</f>
        <v>0</v>
      </c>
      <c r="X19" s="261">
        <f t="shared" si="32"/>
        <v>0</v>
      </c>
      <c r="Y19" s="259">
        <f>'[4]1.Plánovanie, manažment a kontr'!$AR$88</f>
        <v>0</v>
      </c>
      <c r="Z19" s="259">
        <f>'[4]1.Plánovanie, manažment a kontr'!$AS$88</f>
        <v>0</v>
      </c>
      <c r="AA19" s="259">
        <f>'[4]1.Plánovanie, manažment a kontr'!$AT$88</f>
        <v>0</v>
      </c>
      <c r="AB19" s="261">
        <f t="shared" si="33"/>
        <v>9000</v>
      </c>
      <c r="AC19" s="259">
        <f>'[4]1.Plánovanie, manažment a kontr'!$AU$88</f>
        <v>9000</v>
      </c>
      <c r="AD19" s="259">
        <f>'[4]1.Plánovanie, manažment a kontr'!$AV$88</f>
        <v>0</v>
      </c>
      <c r="AE19" s="260">
        <f>'[4]1.Plánovanie, manažment a kontr'!$AW$88</f>
        <v>0</v>
      </c>
    </row>
    <row r="20" spans="1:31" ht="15.75" x14ac:dyDescent="0.25">
      <c r="A20" s="121"/>
      <c r="B20" s="273" t="s">
        <v>165</v>
      </c>
      <c r="C20" s="274" t="s">
        <v>166</v>
      </c>
      <c r="D20" s="560">
        <f t="shared" si="27"/>
        <v>11117.380000000001</v>
      </c>
      <c r="E20" s="561">
        <f>'[1]1.Plánovanie, manažment a kontr'!$AF$92</f>
        <v>11117.380000000001</v>
      </c>
      <c r="F20" s="561">
        <f>'[1]1.Plánovanie, manažment a kontr'!$AG$92</f>
        <v>0</v>
      </c>
      <c r="G20" s="562">
        <f>'[1]1.Plánovanie, manažment a kontr'!$AH$92</f>
        <v>0</v>
      </c>
      <c r="H20" s="560">
        <f t="shared" si="28"/>
        <v>13950</v>
      </c>
      <c r="I20" s="561">
        <f>'[2]1.Plánovanie, manažment a kontr'!$AI$92</f>
        <v>13950</v>
      </c>
      <c r="J20" s="561">
        <f>'[2]1.Plánovanie, manažment a kontr'!$AJ$92</f>
        <v>0</v>
      </c>
      <c r="K20" s="562">
        <f>'[2]1.Plánovanie, manažment a kontr'!$AK$92</f>
        <v>0</v>
      </c>
      <c r="L20" s="261">
        <f t="shared" si="29"/>
        <v>18350</v>
      </c>
      <c r="M20" s="259">
        <f>'[3]1.Plánovanie, manažment a kontr'!$AI$92</f>
        <v>18350</v>
      </c>
      <c r="N20" s="259">
        <f>'[3]1.Plánovanie, manažment a kontr'!$AJ$92</f>
        <v>0</v>
      </c>
      <c r="O20" s="356">
        <f>'[3]1.Plánovanie, manažment a kontr'!$AK$92</f>
        <v>0</v>
      </c>
      <c r="P20" s="261">
        <f t="shared" si="30"/>
        <v>18350</v>
      </c>
      <c r="Q20" s="259">
        <f>'[4]1.Plánovanie, manažment a kontr'!$AL$92</f>
        <v>18350</v>
      </c>
      <c r="R20" s="259">
        <f>'[4]1.Plánovanie, manažment a kontr'!$AM$92</f>
        <v>0</v>
      </c>
      <c r="S20" s="259">
        <f>'[4]1.Plánovanie, manažment a kontr'!$AN$92</f>
        <v>0</v>
      </c>
      <c r="T20" s="261">
        <f t="shared" si="31"/>
        <v>4732.2800000000007</v>
      </c>
      <c r="U20" s="259">
        <f>'[4]1.Plánovanie, manažment a kontr'!$AO$92</f>
        <v>4732.2800000000007</v>
      </c>
      <c r="V20" s="259">
        <f>'[4]1.Plánovanie, manažment a kontr'!$AP$92</f>
        <v>0</v>
      </c>
      <c r="W20" s="259">
        <f>'[4]1.Plánovanie, manažment a kontr'!$AQ$92</f>
        <v>0</v>
      </c>
      <c r="X20" s="261">
        <f t="shared" si="32"/>
        <v>0</v>
      </c>
      <c r="Y20" s="259">
        <f>'[4]1.Plánovanie, manažment a kontr'!$AR$92</f>
        <v>0</v>
      </c>
      <c r="Z20" s="259">
        <f>'[4]1.Plánovanie, manažment a kontr'!$AS$92</f>
        <v>0</v>
      </c>
      <c r="AA20" s="259">
        <f>'[4]1.Plánovanie, manažment a kontr'!$AT$92</f>
        <v>0</v>
      </c>
      <c r="AB20" s="261">
        <f t="shared" si="33"/>
        <v>18350</v>
      </c>
      <c r="AC20" s="259">
        <f>'[4]1.Plánovanie, manažment a kontr'!$AU$92</f>
        <v>18350</v>
      </c>
      <c r="AD20" s="259">
        <f>'[4]1.Plánovanie, manažment a kontr'!$AV$92</f>
        <v>0</v>
      </c>
      <c r="AE20" s="260">
        <f>'[4]1.Plánovanie, manažment a kontr'!$AW$92</f>
        <v>0</v>
      </c>
    </row>
    <row r="21" spans="1:31" ht="16.5" outlineLevel="1" thickBot="1" x14ac:dyDescent="0.3">
      <c r="A21" s="121"/>
      <c r="B21" s="275" t="s">
        <v>167</v>
      </c>
      <c r="C21" s="276" t="s">
        <v>431</v>
      </c>
      <c r="D21" s="563">
        <f t="shared" si="27"/>
        <v>0</v>
      </c>
      <c r="E21" s="564">
        <f>'[1]1.Plánovanie, manažment a kontr'!$AF$95</f>
        <v>0</v>
      </c>
      <c r="F21" s="564">
        <f>'[1]1.Plánovanie, manažment a kontr'!$AG$95</f>
        <v>0</v>
      </c>
      <c r="G21" s="565">
        <f>'[1]1.Plánovanie, manažment a kontr'!$AH$95</f>
        <v>0</v>
      </c>
      <c r="H21" s="563">
        <f t="shared" si="28"/>
        <v>0</v>
      </c>
      <c r="I21" s="564">
        <f>'[2]1.Plánovanie, manažment a kontr'!$AI$95</f>
        <v>0</v>
      </c>
      <c r="J21" s="564">
        <f>'[2]1.Plánovanie, manažment a kontr'!$AJ$95</f>
        <v>0</v>
      </c>
      <c r="K21" s="565">
        <f>'[2]1.Plánovanie, manažment a kontr'!$AK$95</f>
        <v>0</v>
      </c>
      <c r="L21" s="269">
        <f t="shared" si="29"/>
        <v>0</v>
      </c>
      <c r="M21" s="270">
        <f>'[3]1.Plánovanie, manažment a kontr'!$AI$95</f>
        <v>0</v>
      </c>
      <c r="N21" s="270">
        <f>'[3]1.Plánovanie, manažment a kontr'!$AJ$95</f>
        <v>0</v>
      </c>
      <c r="O21" s="641">
        <f>'[3]1.Plánovanie, manažment a kontr'!$AK$95</f>
        <v>0</v>
      </c>
      <c r="P21" s="269">
        <f t="shared" si="30"/>
        <v>0</v>
      </c>
      <c r="Q21" s="270">
        <f>'[4]1.Plánovanie, manažment a kontr'!$AL$95</f>
        <v>0</v>
      </c>
      <c r="R21" s="270">
        <f>'[4]1.Plánovanie, manažment a kontr'!$AM$95</f>
        <v>0</v>
      </c>
      <c r="S21" s="270">
        <f>'[4]1.Plánovanie, manažment a kontr'!$AN$95</f>
        <v>0</v>
      </c>
      <c r="T21" s="269">
        <f t="shared" si="31"/>
        <v>0</v>
      </c>
      <c r="U21" s="270">
        <f>'[4]1.Plánovanie, manažment a kontr'!$AO$95</f>
        <v>0</v>
      </c>
      <c r="V21" s="270">
        <f>'[4]1.Plánovanie, manažment a kontr'!$AP$95</f>
        <v>0</v>
      </c>
      <c r="W21" s="270">
        <f>'[4]1.Plánovanie, manažment a kontr'!$AQ$95</f>
        <v>0</v>
      </c>
      <c r="X21" s="269">
        <f t="shared" si="32"/>
        <v>0</v>
      </c>
      <c r="Y21" s="270">
        <f>'[4]1.Plánovanie, manažment a kontr'!$AR$95</f>
        <v>0</v>
      </c>
      <c r="Z21" s="270">
        <f>'[4]1.Plánovanie, manažment a kontr'!$AS$95</f>
        <v>0</v>
      </c>
      <c r="AA21" s="270">
        <f>'[4]1.Plánovanie, manažment a kontr'!$AT$95</f>
        <v>0</v>
      </c>
      <c r="AB21" s="269">
        <f t="shared" si="33"/>
        <v>0</v>
      </c>
      <c r="AC21" s="270">
        <f>'[4]1.Plánovanie, manažment a kontr'!$AU$95</f>
        <v>0</v>
      </c>
      <c r="AD21" s="270">
        <f>'[4]1.Plánovanie, manažment a kontr'!$AV$95</f>
        <v>0</v>
      </c>
      <c r="AE21" s="303">
        <f>'[4]1.Plánovanie, manažment a kontr'!$AW$95</f>
        <v>0</v>
      </c>
    </row>
    <row r="22" spans="1:31" s="123" customFormat="1" ht="15.75" x14ac:dyDescent="0.25">
      <c r="A22" s="122"/>
      <c r="B22" s="277" t="s">
        <v>169</v>
      </c>
      <c r="C22" s="278"/>
      <c r="D22" s="557">
        <f t="shared" ref="D22:G22" si="34">D23+D32+D35</f>
        <v>33144.959999999999</v>
      </c>
      <c r="E22" s="558">
        <f t="shared" si="34"/>
        <v>33144.959999999999</v>
      </c>
      <c r="F22" s="558">
        <f>F23+F32+F35</f>
        <v>0</v>
      </c>
      <c r="G22" s="559">
        <f t="shared" si="34"/>
        <v>0</v>
      </c>
      <c r="H22" s="557">
        <f t="shared" ref="H22:I22" si="35">H23+H32+H35</f>
        <v>16675.22</v>
      </c>
      <c r="I22" s="558">
        <f t="shared" si="35"/>
        <v>16675.22</v>
      </c>
      <c r="J22" s="558">
        <f>J23+J32+J35</f>
        <v>0</v>
      </c>
      <c r="K22" s="559">
        <f t="shared" ref="K22:M22" si="36">K23+K32+K35</f>
        <v>0</v>
      </c>
      <c r="L22" s="267">
        <f t="shared" si="36"/>
        <v>39570</v>
      </c>
      <c r="M22" s="268">
        <f t="shared" si="36"/>
        <v>39570</v>
      </c>
      <c r="N22" s="268">
        <f>N23+N32+N35</f>
        <v>0</v>
      </c>
      <c r="O22" s="355">
        <f t="shared" ref="O22:U22" si="37">O23+O32+O35</f>
        <v>0</v>
      </c>
      <c r="P22" s="267">
        <f t="shared" ref="P22:Q22" si="38">P23+P32+P35</f>
        <v>46070</v>
      </c>
      <c r="Q22" s="268">
        <f t="shared" si="38"/>
        <v>46070</v>
      </c>
      <c r="R22" s="268">
        <f>R23+R32+R35</f>
        <v>0</v>
      </c>
      <c r="S22" s="355">
        <f t="shared" ref="S22" si="39">S23+S32+S35</f>
        <v>0</v>
      </c>
      <c r="T22" s="267">
        <f t="shared" si="37"/>
        <v>954.18</v>
      </c>
      <c r="U22" s="268">
        <f t="shared" si="37"/>
        <v>954.18</v>
      </c>
      <c r="V22" s="268">
        <f>V23+V32+V35</f>
        <v>0</v>
      </c>
      <c r="W22" s="355">
        <f t="shared" ref="W22:Y22" si="40">W23+W32+W35</f>
        <v>0</v>
      </c>
      <c r="X22" s="267">
        <f t="shared" si="40"/>
        <v>2700</v>
      </c>
      <c r="Y22" s="268">
        <f t="shared" si="40"/>
        <v>2700</v>
      </c>
      <c r="Z22" s="268">
        <f>Z23+Z32+Z35</f>
        <v>0</v>
      </c>
      <c r="AA22" s="355">
        <f t="shared" ref="AA22:AC22" si="41">AA23+AA32+AA35</f>
        <v>0</v>
      </c>
      <c r="AB22" s="267">
        <f t="shared" si="41"/>
        <v>48770</v>
      </c>
      <c r="AC22" s="268">
        <f t="shared" si="41"/>
        <v>48770</v>
      </c>
      <c r="AD22" s="268">
        <f>AD23+AD32+AD35</f>
        <v>0</v>
      </c>
      <c r="AE22" s="355">
        <f t="shared" ref="AE22" si="42">AE23+AE32+AE35</f>
        <v>0</v>
      </c>
    </row>
    <row r="23" spans="1:31" ht="15.75" x14ac:dyDescent="0.25">
      <c r="A23" s="121"/>
      <c r="B23" s="273" t="s">
        <v>170</v>
      </c>
      <c r="C23" s="274" t="s">
        <v>171</v>
      </c>
      <c r="D23" s="560">
        <f t="shared" ref="D23:F23" si="43">SUM(D24:D31)</f>
        <v>17438.510000000002</v>
      </c>
      <c r="E23" s="561">
        <f t="shared" si="43"/>
        <v>17438.510000000002</v>
      </c>
      <c r="F23" s="561">
        <f t="shared" si="43"/>
        <v>0</v>
      </c>
      <c r="G23" s="562">
        <f>SUM(G24:G31)</f>
        <v>0</v>
      </c>
      <c r="H23" s="560">
        <f t="shared" ref="H23:J23" si="44">SUM(H24:H31)</f>
        <v>9750.880000000001</v>
      </c>
      <c r="I23" s="561">
        <f t="shared" si="44"/>
        <v>9750.880000000001</v>
      </c>
      <c r="J23" s="561">
        <f t="shared" si="44"/>
        <v>0</v>
      </c>
      <c r="K23" s="562">
        <f>SUM(K24:K31)</f>
        <v>0</v>
      </c>
      <c r="L23" s="261">
        <f t="shared" ref="L23:N23" si="45">SUM(L24:L31)</f>
        <v>15870</v>
      </c>
      <c r="M23" s="259">
        <f t="shared" si="45"/>
        <v>15870</v>
      </c>
      <c r="N23" s="259">
        <f t="shared" si="45"/>
        <v>0</v>
      </c>
      <c r="O23" s="356">
        <f>SUM(O24:O31)</f>
        <v>0</v>
      </c>
      <c r="P23" s="261">
        <f t="shared" ref="P23:R23" si="46">SUM(P24:P31)</f>
        <v>15870</v>
      </c>
      <c r="Q23" s="259">
        <f t="shared" si="46"/>
        <v>15870</v>
      </c>
      <c r="R23" s="259">
        <f t="shared" si="46"/>
        <v>0</v>
      </c>
      <c r="S23" s="356">
        <f>SUM(S24:S31)</f>
        <v>0</v>
      </c>
      <c r="T23" s="261">
        <f t="shared" ref="T23:V23" si="47">SUM(T24:T31)</f>
        <v>954.18</v>
      </c>
      <c r="U23" s="259">
        <f t="shared" si="47"/>
        <v>954.18</v>
      </c>
      <c r="V23" s="259">
        <f t="shared" si="47"/>
        <v>0</v>
      </c>
      <c r="W23" s="356">
        <f>SUM(W24:W31)</f>
        <v>0</v>
      </c>
      <c r="X23" s="261">
        <f t="shared" ref="X23:Z23" si="48">SUM(X24:X31)</f>
        <v>0</v>
      </c>
      <c r="Y23" s="259">
        <f t="shared" si="48"/>
        <v>0</v>
      </c>
      <c r="Z23" s="259">
        <f t="shared" si="48"/>
        <v>0</v>
      </c>
      <c r="AA23" s="356">
        <f>SUM(AA24:AA31)</f>
        <v>0</v>
      </c>
      <c r="AB23" s="261">
        <f t="shared" ref="AB23:AD23" si="49">SUM(AB24:AB31)</f>
        <v>15870</v>
      </c>
      <c r="AC23" s="259">
        <f t="shared" si="49"/>
        <v>15870</v>
      </c>
      <c r="AD23" s="259">
        <f t="shared" si="49"/>
        <v>0</v>
      </c>
      <c r="AE23" s="356">
        <f>SUM(AE24:AE31)</f>
        <v>0</v>
      </c>
    </row>
    <row r="24" spans="1:31" ht="15.75" x14ac:dyDescent="0.25">
      <c r="A24" s="124"/>
      <c r="B24" s="273">
        <v>1</v>
      </c>
      <c r="C24" s="274" t="s">
        <v>172</v>
      </c>
      <c r="D24" s="560">
        <f>SUM(E24:G24)</f>
        <v>433.52</v>
      </c>
      <c r="E24" s="561">
        <f>'[1]2. Propagácia a marketing'!$AF$5</f>
        <v>433.52</v>
      </c>
      <c r="F24" s="561">
        <f>'[1]2. Propagácia a marketing'!$AG$5</f>
        <v>0</v>
      </c>
      <c r="G24" s="562">
        <f>'[1]2. Propagácia a marketing'!$AH$5</f>
        <v>0</v>
      </c>
      <c r="H24" s="560">
        <f>SUM(I24:K24)</f>
        <v>400.46</v>
      </c>
      <c r="I24" s="561">
        <f>'[2]2. Propagácia a marketing'!$AI$5</f>
        <v>400.46</v>
      </c>
      <c r="J24" s="561">
        <f>'[2]2. Propagácia a marketing'!$AJ$5</f>
        <v>0</v>
      </c>
      <c r="K24" s="562">
        <f>'[2]2. Propagácia a marketing'!$AK$5</f>
        <v>0</v>
      </c>
      <c r="L24" s="261">
        <f>SUM(M24:O24)</f>
        <v>820</v>
      </c>
      <c r="M24" s="259">
        <f>'[3]2. Propagácia a marketing'!$AI$5</f>
        <v>820</v>
      </c>
      <c r="N24" s="259">
        <f>'[3]2. Propagácia a marketing'!$AJ$5</f>
        <v>0</v>
      </c>
      <c r="O24" s="356">
        <f>'[3]2. Propagácia a marketing'!$AK$5</f>
        <v>0</v>
      </c>
      <c r="P24" s="261">
        <f>SUM(Q24:S24)</f>
        <v>820</v>
      </c>
      <c r="Q24" s="259">
        <f>'[4]2. Propagácia a marketing'!$AL$5</f>
        <v>820</v>
      </c>
      <c r="R24" s="259">
        <f>'[4]2. Propagácia a marketing'!$AM$5</f>
        <v>0</v>
      </c>
      <c r="S24" s="259">
        <f>'[4]2. Propagácia a marketing'!$AN$5</f>
        <v>0</v>
      </c>
      <c r="T24" s="261">
        <f>SUM(U24:W24)</f>
        <v>0</v>
      </c>
      <c r="U24" s="259">
        <f>'[4]2. Propagácia a marketing'!$AO$5</f>
        <v>0</v>
      </c>
      <c r="V24" s="259">
        <f>'[4]2. Propagácia a marketing'!$AP$5</f>
        <v>0</v>
      </c>
      <c r="W24" s="259">
        <f>'[4]2. Propagácia a marketing'!$AQ$5</f>
        <v>0</v>
      </c>
      <c r="X24" s="261">
        <f>SUM(Y24:AA24)</f>
        <v>0</v>
      </c>
      <c r="Y24" s="259">
        <f>'[4]2. Propagácia a marketing'!$AR$5</f>
        <v>0</v>
      </c>
      <c r="Z24" s="259">
        <f>'[4]2. Propagácia a marketing'!$AS$5</f>
        <v>0</v>
      </c>
      <c r="AA24" s="259">
        <f>'[4]2. Propagácia a marketing'!$AT$5</f>
        <v>0</v>
      </c>
      <c r="AB24" s="261">
        <f>SUM(AC24:AE24)</f>
        <v>820</v>
      </c>
      <c r="AC24" s="259">
        <f>'[4]2. Propagácia a marketing'!$AU$5</f>
        <v>820</v>
      </c>
      <c r="AD24" s="259">
        <f>'[4]2. Propagácia a marketing'!$AV$5</f>
        <v>0</v>
      </c>
      <c r="AE24" s="260">
        <f>'[4]2. Propagácia a marketing'!$AW$5</f>
        <v>0</v>
      </c>
    </row>
    <row r="25" spans="1:31" ht="15.75" x14ac:dyDescent="0.25">
      <c r="A25" s="121"/>
      <c r="B25" s="273">
        <v>2</v>
      </c>
      <c r="C25" s="279" t="s">
        <v>173</v>
      </c>
      <c r="D25" s="560">
        <f t="shared" ref="D25:D31" si="50">SUM(E25:G25)</f>
        <v>965.25</v>
      </c>
      <c r="E25" s="561">
        <f>'[1]2. Propagácia a marketing'!$AF$7</f>
        <v>965.25</v>
      </c>
      <c r="F25" s="561">
        <f>'[1]2. Propagácia a marketing'!$AG$7</f>
        <v>0</v>
      </c>
      <c r="G25" s="562">
        <f>'[1]2. Propagácia a marketing'!$AH$7</f>
        <v>0</v>
      </c>
      <c r="H25" s="560">
        <f t="shared" ref="H25:H31" si="51">SUM(I25:K25)</f>
        <v>598.4</v>
      </c>
      <c r="I25" s="561">
        <f>'[2]2. Propagácia a marketing'!$AI$7</f>
        <v>598.4</v>
      </c>
      <c r="J25" s="561">
        <f>'[2]2. Propagácia a marketing'!$AJ$7</f>
        <v>0</v>
      </c>
      <c r="K25" s="562">
        <f>'[2]2. Propagácia a marketing'!$AK$7</f>
        <v>0</v>
      </c>
      <c r="L25" s="261">
        <f t="shared" ref="L25:L31" si="52">SUM(M25:O25)</f>
        <v>4000</v>
      </c>
      <c r="M25" s="259">
        <f>'[3]2. Propagácia a marketing'!$AI$7</f>
        <v>4000</v>
      </c>
      <c r="N25" s="259">
        <f>'[3]2. Propagácia a marketing'!$AJ$7</f>
        <v>0</v>
      </c>
      <c r="O25" s="356">
        <f>'[3]2. Propagácia a marketing'!$AK$7</f>
        <v>0</v>
      </c>
      <c r="P25" s="261">
        <f t="shared" ref="P25:P31" si="53">SUM(Q25:S25)</f>
        <v>4000</v>
      </c>
      <c r="Q25" s="259">
        <f>'[4]2. Propagácia a marketing'!$AL$7</f>
        <v>4000</v>
      </c>
      <c r="R25" s="259">
        <f>'[4]2. Propagácia a marketing'!$AM$7</f>
        <v>0</v>
      </c>
      <c r="S25" s="259">
        <f>'[4]2. Propagácia a marketing'!$AN$7</f>
        <v>0</v>
      </c>
      <c r="T25" s="261">
        <f t="shared" ref="T25:T31" si="54">SUM(U25:W25)</f>
        <v>0</v>
      </c>
      <c r="U25" s="259">
        <f>'[4]2. Propagácia a marketing'!$AO$7</f>
        <v>0</v>
      </c>
      <c r="V25" s="259">
        <f>'[4]2. Propagácia a marketing'!$AP$7</f>
        <v>0</v>
      </c>
      <c r="W25" s="259">
        <f>'[4]2. Propagácia a marketing'!$AQ$7</f>
        <v>0</v>
      </c>
      <c r="X25" s="261">
        <f t="shared" ref="X25:X31" si="55">SUM(Y25:AA25)</f>
        <v>0</v>
      </c>
      <c r="Y25" s="259">
        <f>'[4]2. Propagácia a marketing'!$AR$7</f>
        <v>0</v>
      </c>
      <c r="Z25" s="259">
        <f>'[4]2. Propagácia a marketing'!$AS$7</f>
        <v>0</v>
      </c>
      <c r="AA25" s="259">
        <f>'[4]2. Propagácia a marketing'!$AT$7</f>
        <v>0</v>
      </c>
      <c r="AB25" s="261">
        <f t="shared" ref="AB25:AB31" si="56">SUM(AC25:AE25)</f>
        <v>4000</v>
      </c>
      <c r="AC25" s="259">
        <f>'[4]2. Propagácia a marketing'!$AU$7</f>
        <v>4000</v>
      </c>
      <c r="AD25" s="259">
        <f>'[4]2. Propagácia a marketing'!$AV$7</f>
        <v>0</v>
      </c>
      <c r="AE25" s="260">
        <f>'[4]2. Propagácia a marketing'!$AW$7</f>
        <v>0</v>
      </c>
    </row>
    <row r="26" spans="1:31" ht="15.75" x14ac:dyDescent="0.25">
      <c r="A26" s="121"/>
      <c r="B26" s="273">
        <v>3</v>
      </c>
      <c r="C26" s="274" t="s">
        <v>174</v>
      </c>
      <c r="D26" s="560">
        <f t="shared" si="50"/>
        <v>7039.74</v>
      </c>
      <c r="E26" s="561">
        <f>'[1]2. Propagácia a marketing'!$AF$12</f>
        <v>7039.74</v>
      </c>
      <c r="F26" s="561">
        <f>'[1]2. Propagácia a marketing'!$AG$12</f>
        <v>0</v>
      </c>
      <c r="G26" s="562">
        <f>'[1]2. Propagácia a marketing'!$AH$12</f>
        <v>0</v>
      </c>
      <c r="H26" s="560">
        <f t="shared" si="51"/>
        <v>2177.02</v>
      </c>
      <c r="I26" s="561">
        <f>'[2]2. Propagácia a marketing'!$AI$12</f>
        <v>2177.02</v>
      </c>
      <c r="J26" s="561">
        <f>'[2]2. Propagácia a marketing'!$AJ$12</f>
        <v>0</v>
      </c>
      <c r="K26" s="562">
        <f>'[2]2. Propagácia a marketing'!$AK$12</f>
        <v>0</v>
      </c>
      <c r="L26" s="261">
        <f t="shared" si="52"/>
        <v>5050</v>
      </c>
      <c r="M26" s="259">
        <f>'[3]2. Propagácia a marketing'!$AI$12</f>
        <v>5050</v>
      </c>
      <c r="N26" s="259">
        <f>'[3]2. Propagácia a marketing'!$AJ$12</f>
        <v>0</v>
      </c>
      <c r="O26" s="356">
        <f>'[3]2. Propagácia a marketing'!$AK$12</f>
        <v>0</v>
      </c>
      <c r="P26" s="261">
        <f t="shared" si="53"/>
        <v>5050</v>
      </c>
      <c r="Q26" s="259">
        <f>'[4]2. Propagácia a marketing'!$AL$12</f>
        <v>5050</v>
      </c>
      <c r="R26" s="259">
        <f>'[4]2. Propagácia a marketing'!$AM$12</f>
        <v>0</v>
      </c>
      <c r="S26" s="259">
        <f>'[4]2. Propagácia a marketing'!$AN$12</f>
        <v>0</v>
      </c>
      <c r="T26" s="261">
        <f t="shared" si="54"/>
        <v>817.4</v>
      </c>
      <c r="U26" s="259">
        <f>'[4]2. Propagácia a marketing'!$AO$12</f>
        <v>817.4</v>
      </c>
      <c r="V26" s="259">
        <f>'[4]2. Propagácia a marketing'!$AP$12</f>
        <v>0</v>
      </c>
      <c r="W26" s="259">
        <f>'[4]2. Propagácia a marketing'!$AQ$12</f>
        <v>0</v>
      </c>
      <c r="X26" s="261">
        <f t="shared" si="55"/>
        <v>0</v>
      </c>
      <c r="Y26" s="259">
        <f>'[4]2. Propagácia a marketing'!$AR$12</f>
        <v>0</v>
      </c>
      <c r="Z26" s="259">
        <f>'[4]2. Propagácia a marketing'!$AS$12</f>
        <v>0</v>
      </c>
      <c r="AA26" s="259">
        <f>'[4]2. Propagácia a marketing'!$AT$12</f>
        <v>0</v>
      </c>
      <c r="AB26" s="261">
        <f t="shared" si="56"/>
        <v>5050</v>
      </c>
      <c r="AC26" s="259">
        <f>'[4]2. Propagácia a marketing'!$AU$12</f>
        <v>5050</v>
      </c>
      <c r="AD26" s="259">
        <f>'[4]2. Propagácia a marketing'!$AV$12</f>
        <v>0</v>
      </c>
      <c r="AE26" s="260">
        <f>'[4]2. Propagácia a marketing'!$AW$12</f>
        <v>0</v>
      </c>
    </row>
    <row r="27" spans="1:31" ht="15.75" x14ac:dyDescent="0.25">
      <c r="A27" s="121"/>
      <c r="B27" s="273">
        <v>4</v>
      </c>
      <c r="C27" s="274" t="s">
        <v>175</v>
      </c>
      <c r="D27" s="560">
        <f t="shared" si="50"/>
        <v>0</v>
      </c>
      <c r="E27" s="561">
        <f>'[1]2. Propagácia a marketing'!$AF$20</f>
        <v>0</v>
      </c>
      <c r="F27" s="561">
        <f>'[1]2. Propagácia a marketing'!$AG$20</f>
        <v>0</v>
      </c>
      <c r="G27" s="562">
        <f>'[1]2. Propagácia a marketing'!$AH$20</f>
        <v>0</v>
      </c>
      <c r="H27" s="560">
        <f t="shared" si="51"/>
        <v>0</v>
      </c>
      <c r="I27" s="561">
        <f>'[2]2. Propagácia a marketing'!$AI$20</f>
        <v>0</v>
      </c>
      <c r="J27" s="561">
        <f>'[2]2. Propagácia a marketing'!$AJ$20</f>
        <v>0</v>
      </c>
      <c r="K27" s="562">
        <f>'[2]2. Propagácia a marketing'!$AK$20</f>
        <v>0</v>
      </c>
      <c r="L27" s="261">
        <f t="shared" si="52"/>
        <v>0</v>
      </c>
      <c r="M27" s="259">
        <f>'[3]2. Propagácia a marketing'!$AI$20</f>
        <v>0</v>
      </c>
      <c r="N27" s="259">
        <f>'[3]2. Propagácia a marketing'!$AJ$20</f>
        <v>0</v>
      </c>
      <c r="O27" s="356">
        <f>'[3]2. Propagácia a marketing'!$AK$20</f>
        <v>0</v>
      </c>
      <c r="P27" s="261">
        <f t="shared" si="53"/>
        <v>0</v>
      </c>
      <c r="Q27" s="259">
        <f>'[4]2. Propagácia a marketing'!$AL$20</f>
        <v>0</v>
      </c>
      <c r="R27" s="259">
        <f>'[4]2. Propagácia a marketing'!$AM$20</f>
        <v>0</v>
      </c>
      <c r="S27" s="259">
        <f>'[4]2. Propagácia a marketing'!$AN$20</f>
        <v>0</v>
      </c>
      <c r="T27" s="261">
        <f t="shared" si="54"/>
        <v>0</v>
      </c>
      <c r="U27" s="259">
        <f>'[4]2. Propagácia a marketing'!$AO$20</f>
        <v>0</v>
      </c>
      <c r="V27" s="259">
        <f>'[4]2. Propagácia a marketing'!$AP$20</f>
        <v>0</v>
      </c>
      <c r="W27" s="259">
        <f>'[4]2. Propagácia a marketing'!$AQ$20</f>
        <v>0</v>
      </c>
      <c r="X27" s="261">
        <f t="shared" si="55"/>
        <v>0</v>
      </c>
      <c r="Y27" s="259">
        <f>'[4]2. Propagácia a marketing'!$AR$20</f>
        <v>0</v>
      </c>
      <c r="Z27" s="259">
        <f>'[4]2. Propagácia a marketing'!$AS$20</f>
        <v>0</v>
      </c>
      <c r="AA27" s="259">
        <f>'[4]2. Propagácia a marketing'!$AT$20</f>
        <v>0</v>
      </c>
      <c r="AB27" s="261">
        <f t="shared" si="56"/>
        <v>0</v>
      </c>
      <c r="AC27" s="259">
        <f>'[4]2. Propagácia a marketing'!$AU$20</f>
        <v>0</v>
      </c>
      <c r="AD27" s="259">
        <f>'[4]2. Propagácia a marketing'!$AV$20</f>
        <v>0</v>
      </c>
      <c r="AE27" s="260">
        <f>'[4]2. Propagácia a marketing'!$AW$20</f>
        <v>0</v>
      </c>
    </row>
    <row r="28" spans="1:31" ht="15.75" x14ac:dyDescent="0.25">
      <c r="A28" s="121"/>
      <c r="B28" s="273">
        <v>5</v>
      </c>
      <c r="C28" s="274" t="s">
        <v>176</v>
      </c>
      <c r="D28" s="560">
        <f t="shared" si="50"/>
        <v>0</v>
      </c>
      <c r="E28" s="561">
        <f>'[1]2. Propagácia a marketing'!$AF$22</f>
        <v>0</v>
      </c>
      <c r="F28" s="561">
        <f>'[1]2. Propagácia a marketing'!$AG$22</f>
        <v>0</v>
      </c>
      <c r="G28" s="562">
        <f>'[1]2. Propagácia a marketing'!$AH$22</f>
        <v>0</v>
      </c>
      <c r="H28" s="560">
        <f t="shared" si="51"/>
        <v>0</v>
      </c>
      <c r="I28" s="561">
        <f>'[2]2. Propagácia a marketing'!$AI$22</f>
        <v>0</v>
      </c>
      <c r="J28" s="561">
        <f>'[2]2. Propagácia a marketing'!$AJ$22</f>
        <v>0</v>
      </c>
      <c r="K28" s="562">
        <f>'[2]2. Propagácia a marketing'!$AK$22</f>
        <v>0</v>
      </c>
      <c r="L28" s="261">
        <f t="shared" si="52"/>
        <v>0</v>
      </c>
      <c r="M28" s="259">
        <f>'[3]2. Propagácia a marketing'!$AI$22</f>
        <v>0</v>
      </c>
      <c r="N28" s="259">
        <f>'[3]2. Propagácia a marketing'!$AJ$22</f>
        <v>0</v>
      </c>
      <c r="O28" s="356">
        <f>'[3]2. Propagácia a marketing'!$AK$22</f>
        <v>0</v>
      </c>
      <c r="P28" s="261">
        <f t="shared" si="53"/>
        <v>0</v>
      </c>
      <c r="Q28" s="259">
        <f>'[4]2. Propagácia a marketing'!$AL$22</f>
        <v>0</v>
      </c>
      <c r="R28" s="259">
        <f>'[4]2. Propagácia a marketing'!$AM$22</f>
        <v>0</v>
      </c>
      <c r="S28" s="259">
        <f>'[4]2. Propagácia a marketing'!$AN$22</f>
        <v>0</v>
      </c>
      <c r="T28" s="261">
        <f t="shared" si="54"/>
        <v>0</v>
      </c>
      <c r="U28" s="259">
        <f>'[4]2. Propagácia a marketing'!$AO$22</f>
        <v>0</v>
      </c>
      <c r="V28" s="259">
        <f>'[4]2. Propagácia a marketing'!$AP$22</f>
        <v>0</v>
      </c>
      <c r="W28" s="259">
        <f>'[4]2. Propagácia a marketing'!$AQ$22</f>
        <v>0</v>
      </c>
      <c r="X28" s="261">
        <f t="shared" si="55"/>
        <v>0</v>
      </c>
      <c r="Y28" s="259">
        <f>'[4]2. Propagácia a marketing'!$AR$22</f>
        <v>0</v>
      </c>
      <c r="Z28" s="259">
        <f>'[4]2. Propagácia a marketing'!$AS$22</f>
        <v>0</v>
      </c>
      <c r="AA28" s="259">
        <f>'[4]2. Propagácia a marketing'!$AT$22</f>
        <v>0</v>
      </c>
      <c r="AB28" s="261">
        <f t="shared" si="56"/>
        <v>0</v>
      </c>
      <c r="AC28" s="259">
        <f>'[4]2. Propagácia a marketing'!$AU$22</f>
        <v>0</v>
      </c>
      <c r="AD28" s="259">
        <f>'[4]2. Propagácia a marketing'!$AV$22</f>
        <v>0</v>
      </c>
      <c r="AE28" s="260">
        <f>'[4]2. Propagácia a marketing'!$AW$22</f>
        <v>0</v>
      </c>
    </row>
    <row r="29" spans="1:31" ht="15.75" x14ac:dyDescent="0.25">
      <c r="A29" s="121"/>
      <c r="B29" s="273">
        <v>6</v>
      </c>
      <c r="C29" s="274" t="s">
        <v>177</v>
      </c>
      <c r="D29" s="560">
        <f t="shared" si="50"/>
        <v>0</v>
      </c>
      <c r="E29" s="561">
        <f>'[1]2. Propagácia a marketing'!$AF$25</f>
        <v>0</v>
      </c>
      <c r="F29" s="561">
        <f>'[1]2. Propagácia a marketing'!$AG$25</f>
        <v>0</v>
      </c>
      <c r="G29" s="562">
        <f>'[1]2. Propagácia a marketing'!$AH$25</f>
        <v>0</v>
      </c>
      <c r="H29" s="560">
        <f t="shared" si="51"/>
        <v>0</v>
      </c>
      <c r="I29" s="561">
        <f>'[2]2. Propagácia a marketing'!$AI$25</f>
        <v>0</v>
      </c>
      <c r="J29" s="561">
        <f>'[2]2. Propagácia a marketing'!$AJ$25</f>
        <v>0</v>
      </c>
      <c r="K29" s="562">
        <f>'[2]2. Propagácia a marketing'!$AK$25</f>
        <v>0</v>
      </c>
      <c r="L29" s="261">
        <f t="shared" si="52"/>
        <v>0</v>
      </c>
      <c r="M29" s="259">
        <f>'[3]2. Propagácia a marketing'!$AI$25</f>
        <v>0</v>
      </c>
      <c r="N29" s="259">
        <f>'[3]2. Propagácia a marketing'!$AJ$25</f>
        <v>0</v>
      </c>
      <c r="O29" s="356">
        <f>'[3]2. Propagácia a marketing'!$AK$25</f>
        <v>0</v>
      </c>
      <c r="P29" s="261">
        <f t="shared" si="53"/>
        <v>0</v>
      </c>
      <c r="Q29" s="259">
        <f>'[4]2. Propagácia a marketing'!$AL$25</f>
        <v>0</v>
      </c>
      <c r="R29" s="259">
        <f>'[4]2. Propagácia a marketing'!$AM$25</f>
        <v>0</v>
      </c>
      <c r="S29" s="259">
        <f>'[4]2. Propagácia a marketing'!$AN$25</f>
        <v>0</v>
      </c>
      <c r="T29" s="261">
        <f t="shared" si="54"/>
        <v>0</v>
      </c>
      <c r="U29" s="259">
        <f>'[4]2. Propagácia a marketing'!$AO$25</f>
        <v>0</v>
      </c>
      <c r="V29" s="259">
        <f>'[4]2. Propagácia a marketing'!$AP$25</f>
        <v>0</v>
      </c>
      <c r="W29" s="259">
        <f>'[4]2. Propagácia a marketing'!$AQ$25</f>
        <v>0</v>
      </c>
      <c r="X29" s="261">
        <f t="shared" si="55"/>
        <v>0</v>
      </c>
      <c r="Y29" s="259">
        <f>'[4]2. Propagácia a marketing'!$AR$25</f>
        <v>0</v>
      </c>
      <c r="Z29" s="259">
        <f>'[4]2. Propagácia a marketing'!$AS$25</f>
        <v>0</v>
      </c>
      <c r="AA29" s="259">
        <f>'[4]2. Propagácia a marketing'!$AT$25</f>
        <v>0</v>
      </c>
      <c r="AB29" s="261">
        <f t="shared" si="56"/>
        <v>0</v>
      </c>
      <c r="AC29" s="259">
        <f>'[4]2. Propagácia a marketing'!$AU$25</f>
        <v>0</v>
      </c>
      <c r="AD29" s="259">
        <f>'[4]2. Propagácia a marketing'!$AV$25</f>
        <v>0</v>
      </c>
      <c r="AE29" s="260">
        <f>'[4]2. Propagácia a marketing'!$AW$25</f>
        <v>0</v>
      </c>
    </row>
    <row r="30" spans="1:31" ht="15.75" x14ac:dyDescent="0.25">
      <c r="A30" s="121"/>
      <c r="B30" s="273">
        <v>7</v>
      </c>
      <c r="C30" s="274" t="s">
        <v>178</v>
      </c>
      <c r="D30" s="560">
        <f t="shared" si="50"/>
        <v>2000</v>
      </c>
      <c r="E30" s="561">
        <f>'[1]2. Propagácia a marketing'!$AF$27</f>
        <v>2000</v>
      </c>
      <c r="F30" s="561">
        <f>'[1]2. Propagácia a marketing'!$AG$27</f>
        <v>0</v>
      </c>
      <c r="G30" s="562">
        <f>'[1]2. Propagácia a marketing'!$AH$27</f>
        <v>0</v>
      </c>
      <c r="H30" s="560">
        <f t="shared" si="51"/>
        <v>1575</v>
      </c>
      <c r="I30" s="561">
        <f>'[2]2. Propagácia a marketing'!$AI$27</f>
        <v>1575</v>
      </c>
      <c r="J30" s="561">
        <f>'[2]2. Propagácia a marketing'!$AJ$27</f>
        <v>0</v>
      </c>
      <c r="K30" s="562">
        <f>'[2]2. Propagácia a marketing'!$AK$27</f>
        <v>0</v>
      </c>
      <c r="L30" s="261">
        <f t="shared" si="52"/>
        <v>2000</v>
      </c>
      <c r="M30" s="259">
        <f>'[3]2. Propagácia a marketing'!$AI$27</f>
        <v>2000</v>
      </c>
      <c r="N30" s="259">
        <f>'[3]2. Propagácia a marketing'!$AJ$27</f>
        <v>0</v>
      </c>
      <c r="O30" s="356">
        <f>'[3]2. Propagácia a marketing'!$AK$27</f>
        <v>0</v>
      </c>
      <c r="P30" s="261">
        <f t="shared" si="53"/>
        <v>2000</v>
      </c>
      <c r="Q30" s="259">
        <f>'[4]2. Propagácia a marketing'!$AL$27</f>
        <v>2000</v>
      </c>
      <c r="R30" s="259">
        <f>'[4]2. Propagácia a marketing'!$AM$27</f>
        <v>0</v>
      </c>
      <c r="S30" s="259">
        <f>'[4]2. Propagácia a marketing'!$AN$27</f>
        <v>0</v>
      </c>
      <c r="T30" s="261">
        <f t="shared" si="54"/>
        <v>136.78</v>
      </c>
      <c r="U30" s="259">
        <f>'[4]2. Propagácia a marketing'!$AO$27</f>
        <v>136.78</v>
      </c>
      <c r="V30" s="259">
        <f>'[4]2. Propagácia a marketing'!$AP$27</f>
        <v>0</v>
      </c>
      <c r="W30" s="259">
        <f>'[4]2. Propagácia a marketing'!$AQ$27</f>
        <v>0</v>
      </c>
      <c r="X30" s="261">
        <f t="shared" si="55"/>
        <v>0</v>
      </c>
      <c r="Y30" s="259">
        <f>'[4]2. Propagácia a marketing'!$AR$27</f>
        <v>0</v>
      </c>
      <c r="Z30" s="259">
        <f>'[4]2. Propagácia a marketing'!$AS$27</f>
        <v>0</v>
      </c>
      <c r="AA30" s="259">
        <f>'[4]2. Propagácia a marketing'!$AT$27</f>
        <v>0</v>
      </c>
      <c r="AB30" s="261">
        <f t="shared" si="56"/>
        <v>2000</v>
      </c>
      <c r="AC30" s="259">
        <f>'[4]2. Propagácia a marketing'!$AU$27</f>
        <v>2000</v>
      </c>
      <c r="AD30" s="259">
        <f>'[4]2. Propagácia a marketing'!$AV$27</f>
        <v>0</v>
      </c>
      <c r="AE30" s="260">
        <f>'[4]2. Propagácia a marketing'!$AW$27</f>
        <v>0</v>
      </c>
    </row>
    <row r="31" spans="1:31" ht="15.75" outlineLevel="1" x14ac:dyDescent="0.25">
      <c r="A31" s="121"/>
      <c r="B31" s="273">
        <v>8</v>
      </c>
      <c r="C31" s="274" t="s">
        <v>432</v>
      </c>
      <c r="D31" s="560">
        <f t="shared" si="50"/>
        <v>7000</v>
      </c>
      <c r="E31" s="561">
        <f>'[1]2. Propagácia a marketing'!$AF$29</f>
        <v>7000</v>
      </c>
      <c r="F31" s="561">
        <f>'[1]2. Propagácia a marketing'!$AG$29</f>
        <v>0</v>
      </c>
      <c r="G31" s="562">
        <f>'[1]2. Propagácia a marketing'!$AH$29</f>
        <v>0</v>
      </c>
      <c r="H31" s="560">
        <f t="shared" si="51"/>
        <v>5000</v>
      </c>
      <c r="I31" s="561">
        <f>'[2]2. Propagácia a marketing'!$AI$29</f>
        <v>5000</v>
      </c>
      <c r="J31" s="561">
        <f>'[2]2. Propagácia a marketing'!$AJ$29</f>
        <v>0</v>
      </c>
      <c r="K31" s="562">
        <f>'[2]2. Propagácia a marketing'!$AK$29</f>
        <v>0</v>
      </c>
      <c r="L31" s="261">
        <f t="shared" si="52"/>
        <v>4000</v>
      </c>
      <c r="M31" s="259">
        <f>'[3]2. Propagácia a marketing'!$AI$29</f>
        <v>4000</v>
      </c>
      <c r="N31" s="259">
        <f>'[3]2. Propagácia a marketing'!$AJ$29</f>
        <v>0</v>
      </c>
      <c r="O31" s="356">
        <f>'[3]2. Propagácia a marketing'!$AK$29</f>
        <v>0</v>
      </c>
      <c r="P31" s="261">
        <f t="shared" si="53"/>
        <v>4000</v>
      </c>
      <c r="Q31" s="259">
        <f>'[4]2. Propagácia a marketing'!$AL$29</f>
        <v>4000</v>
      </c>
      <c r="R31" s="259">
        <f>'[4]2. Propagácia a marketing'!$AM$29</f>
        <v>0</v>
      </c>
      <c r="S31" s="259">
        <f>'[4]2. Propagácia a marketing'!$AN$29</f>
        <v>0</v>
      </c>
      <c r="T31" s="261">
        <f t="shared" si="54"/>
        <v>0</v>
      </c>
      <c r="U31" s="259">
        <f>'[4]2. Propagácia a marketing'!$AO$29</f>
        <v>0</v>
      </c>
      <c r="V31" s="259">
        <f>'[4]2. Propagácia a marketing'!$AP$29</f>
        <v>0</v>
      </c>
      <c r="W31" s="259">
        <f>'[4]2. Propagácia a marketing'!$AQ$29</f>
        <v>0</v>
      </c>
      <c r="X31" s="261">
        <f t="shared" si="55"/>
        <v>0</v>
      </c>
      <c r="Y31" s="259">
        <f>'[4]2. Propagácia a marketing'!$AR$29</f>
        <v>0</v>
      </c>
      <c r="Z31" s="259">
        <f>'[4]2. Propagácia a marketing'!$AS$29</f>
        <v>0</v>
      </c>
      <c r="AA31" s="259">
        <f>'[4]2. Propagácia a marketing'!$AT$29</f>
        <v>0</v>
      </c>
      <c r="AB31" s="261">
        <f t="shared" si="56"/>
        <v>4000</v>
      </c>
      <c r="AC31" s="259">
        <f>'[4]2. Propagácia a marketing'!$AU$29</f>
        <v>4000</v>
      </c>
      <c r="AD31" s="259">
        <f>'[4]2. Propagácia a marketing'!$AV$29</f>
        <v>0</v>
      </c>
      <c r="AE31" s="260">
        <f>'[4]2. Propagácia a marketing'!$AW$29</f>
        <v>0</v>
      </c>
    </row>
    <row r="32" spans="1:31" ht="15.75" x14ac:dyDescent="0.25">
      <c r="B32" s="273" t="s">
        <v>180</v>
      </c>
      <c r="C32" s="274" t="s">
        <v>181</v>
      </c>
      <c r="D32" s="560">
        <f t="shared" ref="D32:G32" si="57">SUM(D33:D34)</f>
        <v>11079.91</v>
      </c>
      <c r="E32" s="561">
        <f t="shared" si="57"/>
        <v>11079.91</v>
      </c>
      <c r="F32" s="561">
        <f t="shared" si="57"/>
        <v>0</v>
      </c>
      <c r="G32" s="562">
        <f t="shared" si="57"/>
        <v>0</v>
      </c>
      <c r="H32" s="560">
        <f t="shared" ref="H32:K32" si="58">SUM(H33:H34)</f>
        <v>1538.5</v>
      </c>
      <c r="I32" s="561">
        <f t="shared" si="58"/>
        <v>1538.5</v>
      </c>
      <c r="J32" s="561">
        <f t="shared" si="58"/>
        <v>0</v>
      </c>
      <c r="K32" s="562">
        <f t="shared" si="58"/>
        <v>0</v>
      </c>
      <c r="L32" s="261">
        <f t="shared" ref="L32:S32" si="59">SUM(L33:L34)</f>
        <v>12000</v>
      </c>
      <c r="M32" s="259">
        <f t="shared" si="59"/>
        <v>12000</v>
      </c>
      <c r="N32" s="259">
        <f t="shared" si="59"/>
        <v>0</v>
      </c>
      <c r="O32" s="356">
        <f t="shared" si="59"/>
        <v>0</v>
      </c>
      <c r="P32" s="261">
        <f t="shared" si="59"/>
        <v>18500</v>
      </c>
      <c r="Q32" s="259">
        <f t="shared" si="59"/>
        <v>18500</v>
      </c>
      <c r="R32" s="259">
        <f t="shared" si="59"/>
        <v>0</v>
      </c>
      <c r="S32" s="356">
        <f t="shared" si="59"/>
        <v>0</v>
      </c>
      <c r="T32" s="261">
        <f t="shared" ref="T32:W32" si="60">SUM(T33:T34)</f>
        <v>0</v>
      </c>
      <c r="U32" s="259">
        <f t="shared" si="60"/>
        <v>0</v>
      </c>
      <c r="V32" s="259">
        <f t="shared" si="60"/>
        <v>0</v>
      </c>
      <c r="W32" s="356">
        <f t="shared" si="60"/>
        <v>0</v>
      </c>
      <c r="X32" s="261">
        <f t="shared" ref="X32:AE32" si="61">SUM(X33:X34)</f>
        <v>0</v>
      </c>
      <c r="Y32" s="259">
        <f t="shared" si="61"/>
        <v>0</v>
      </c>
      <c r="Z32" s="259">
        <f t="shared" si="61"/>
        <v>0</v>
      </c>
      <c r="AA32" s="356">
        <f t="shared" si="61"/>
        <v>0</v>
      </c>
      <c r="AB32" s="261">
        <f t="shared" si="61"/>
        <v>18500</v>
      </c>
      <c r="AC32" s="259">
        <f t="shared" si="61"/>
        <v>18500</v>
      </c>
      <c r="AD32" s="259">
        <f t="shared" si="61"/>
        <v>0</v>
      </c>
      <c r="AE32" s="356">
        <f t="shared" si="61"/>
        <v>0</v>
      </c>
    </row>
    <row r="33" spans="1:31" ht="15.75" x14ac:dyDescent="0.25">
      <c r="B33" s="273">
        <v>1</v>
      </c>
      <c r="C33" s="274" t="s">
        <v>182</v>
      </c>
      <c r="D33" s="560">
        <f>SUM(E33:G33)</f>
        <v>10509.91</v>
      </c>
      <c r="E33" s="561">
        <f>'[1]2. Propagácia a marketing'!$AF$32</f>
        <v>10509.91</v>
      </c>
      <c r="F33" s="561">
        <f>'[1]2. Propagácia a marketing'!$AG$32</f>
        <v>0</v>
      </c>
      <c r="G33" s="562">
        <f>'[1]2. Propagácia a marketing'!$AH$32</f>
        <v>0</v>
      </c>
      <c r="H33" s="560">
        <f>SUM(I33:K33)</f>
        <v>1038.5</v>
      </c>
      <c r="I33" s="561">
        <f>'[2]2. Propagácia a marketing'!$AI$32</f>
        <v>1038.5</v>
      </c>
      <c r="J33" s="561">
        <f>'[2]2. Propagácia a marketing'!$AJ$32</f>
        <v>0</v>
      </c>
      <c r="K33" s="562">
        <f>'[2]2. Propagácia a marketing'!$AK$32</f>
        <v>0</v>
      </c>
      <c r="L33" s="261">
        <f>SUM(M33:O33)</f>
        <v>10500</v>
      </c>
      <c r="M33" s="259">
        <f>'[3]2. Propagácia a marketing'!$AI$32</f>
        <v>10500</v>
      </c>
      <c r="N33" s="259">
        <f>'[3]2. Propagácia a marketing'!$AJ$32</f>
        <v>0</v>
      </c>
      <c r="O33" s="356">
        <f>'[3]2. Propagácia a marketing'!$AK$32</f>
        <v>0</v>
      </c>
      <c r="P33" s="261">
        <f>SUM(Q33:S33)</f>
        <v>17000</v>
      </c>
      <c r="Q33" s="259">
        <f>'[4]2. Propagácia a marketing'!$AL$32</f>
        <v>17000</v>
      </c>
      <c r="R33" s="259">
        <f>'[4]2. Propagácia a marketing'!$AM$32</f>
        <v>0</v>
      </c>
      <c r="S33" s="259">
        <f>'[4]2. Propagácia a marketing'!$AN$32</f>
        <v>0</v>
      </c>
      <c r="T33" s="261">
        <f>SUM(U33:W33)</f>
        <v>0</v>
      </c>
      <c r="U33" s="259">
        <f>'[4]2. Propagácia a marketing'!$AO$32</f>
        <v>0</v>
      </c>
      <c r="V33" s="259">
        <f>'[4]2. Propagácia a marketing'!$AP$32</f>
        <v>0</v>
      </c>
      <c r="W33" s="259">
        <f>'[4]2. Propagácia a marketing'!$AQ$32</f>
        <v>0</v>
      </c>
      <c r="X33" s="261">
        <f>SUM(Y33:AA33)</f>
        <v>0</v>
      </c>
      <c r="Y33" s="259">
        <f>'[4]2. Propagácia a marketing'!$AR$32</f>
        <v>0</v>
      </c>
      <c r="Z33" s="259">
        <f>'[4]2. Propagácia a marketing'!$AS$32</f>
        <v>0</v>
      </c>
      <c r="AA33" s="259">
        <f>'[4]2. Propagácia a marketing'!$AT$32</f>
        <v>0</v>
      </c>
      <c r="AB33" s="261">
        <f>SUM(AC33:AE33)</f>
        <v>17000</v>
      </c>
      <c r="AC33" s="259">
        <f>'[4]2. Propagácia a marketing'!$AU$32</f>
        <v>17000</v>
      </c>
      <c r="AD33" s="259">
        <f>'[4]2. Propagácia a marketing'!$AV$32</f>
        <v>0</v>
      </c>
      <c r="AE33" s="260">
        <f>'[4]2. Propagácia a marketing'!$AW$32</f>
        <v>0</v>
      </c>
    </row>
    <row r="34" spans="1:31" ht="15.75" x14ac:dyDescent="0.25">
      <c r="B34" s="273">
        <v>2</v>
      </c>
      <c r="C34" s="274" t="s">
        <v>183</v>
      </c>
      <c r="D34" s="560">
        <f>SUM(E34:G34)</f>
        <v>570</v>
      </c>
      <c r="E34" s="561">
        <f>'[1]2. Propagácia a marketing'!$AF$46</f>
        <v>570</v>
      </c>
      <c r="F34" s="561">
        <f>'[1]2. Propagácia a marketing'!$AG$46</f>
        <v>0</v>
      </c>
      <c r="G34" s="562">
        <f>'[1]2. Propagácia a marketing'!$AH$46</f>
        <v>0</v>
      </c>
      <c r="H34" s="560">
        <f>SUM(I34:K34)</f>
        <v>500</v>
      </c>
      <c r="I34" s="561">
        <f>'[2]2. Propagácia a marketing'!$AI$46</f>
        <v>500</v>
      </c>
      <c r="J34" s="561">
        <f>'[2]2. Propagácia a marketing'!$AJ$46</f>
        <v>0</v>
      </c>
      <c r="K34" s="562">
        <f>'[2]2. Propagácia a marketing'!$AK$46</f>
        <v>0</v>
      </c>
      <c r="L34" s="261">
        <f>SUM(M34:O34)</f>
        <v>1500</v>
      </c>
      <c r="M34" s="259">
        <f>'[3]2. Propagácia a marketing'!$AI$46</f>
        <v>1500</v>
      </c>
      <c r="N34" s="259">
        <f>'[3]2. Propagácia a marketing'!$AJ$46</f>
        <v>0</v>
      </c>
      <c r="O34" s="356">
        <f>'[3]2. Propagácia a marketing'!$AK$46</f>
        <v>0</v>
      </c>
      <c r="P34" s="261">
        <f>SUM(Q34:S34)</f>
        <v>1500</v>
      </c>
      <c r="Q34" s="259">
        <f>'[4]2. Propagácia a marketing'!$AL$46</f>
        <v>1500</v>
      </c>
      <c r="R34" s="259">
        <f>'[4]2. Propagácia a marketing'!$AM$46</f>
        <v>0</v>
      </c>
      <c r="S34" s="259">
        <f>'[4]2. Propagácia a marketing'!$AN$46</f>
        <v>0</v>
      </c>
      <c r="T34" s="261">
        <f>SUM(U34:W34)</f>
        <v>0</v>
      </c>
      <c r="U34" s="259">
        <f>'[4]2. Propagácia a marketing'!$AO$46</f>
        <v>0</v>
      </c>
      <c r="V34" s="259">
        <f>'[4]2. Propagácia a marketing'!$AP$46</f>
        <v>0</v>
      </c>
      <c r="W34" s="259">
        <f>'[4]2. Propagácia a marketing'!$AQ$46</f>
        <v>0</v>
      </c>
      <c r="X34" s="261">
        <f>SUM(Y34:AA34)</f>
        <v>0</v>
      </c>
      <c r="Y34" s="259">
        <f>'[4]2. Propagácia a marketing'!$AR$46</f>
        <v>0</v>
      </c>
      <c r="Z34" s="259">
        <f>'[4]2. Propagácia a marketing'!$AS$46</f>
        <v>0</v>
      </c>
      <c r="AA34" s="259">
        <f>'[4]2. Propagácia a marketing'!$AT$46</f>
        <v>0</v>
      </c>
      <c r="AB34" s="261">
        <f>SUM(AC34:AE34)</f>
        <v>1500</v>
      </c>
      <c r="AC34" s="259">
        <f>'[4]2. Propagácia a marketing'!$AU$46</f>
        <v>1500</v>
      </c>
      <c r="AD34" s="259">
        <f>'[4]2. Propagácia a marketing'!$AV$46</f>
        <v>0</v>
      </c>
      <c r="AE34" s="260">
        <f>'[4]2. Propagácia a marketing'!$AW$46</f>
        <v>0</v>
      </c>
    </row>
    <row r="35" spans="1:31" ht="16.5" thickBot="1" x14ac:dyDescent="0.3">
      <c r="A35" s="124"/>
      <c r="B35" s="275" t="s">
        <v>184</v>
      </c>
      <c r="C35" s="276" t="s">
        <v>185</v>
      </c>
      <c r="D35" s="563">
        <f>SUM(E35:G35)</f>
        <v>4626.54</v>
      </c>
      <c r="E35" s="564">
        <f>'[1]2. Propagácia a marketing'!$AF$51</f>
        <v>4626.54</v>
      </c>
      <c r="F35" s="564">
        <f>'[1]2. Propagácia a marketing'!$AG$51</f>
        <v>0</v>
      </c>
      <c r="G35" s="565">
        <f>'[1]2. Propagácia a marketing'!$AH$51</f>
        <v>0</v>
      </c>
      <c r="H35" s="563">
        <f>SUM(I35:K35)</f>
        <v>5385.84</v>
      </c>
      <c r="I35" s="564">
        <f>'[2]2. Propagácia a marketing'!$AI$51</f>
        <v>5385.84</v>
      </c>
      <c r="J35" s="564">
        <f>'[2]2. Propagácia a marketing'!$AJ$51</f>
        <v>0</v>
      </c>
      <c r="K35" s="565">
        <f>'[2]2. Propagácia a marketing'!$AK$51</f>
        <v>0</v>
      </c>
      <c r="L35" s="269">
        <f>SUM(M35:O35)</f>
        <v>11700</v>
      </c>
      <c r="M35" s="270">
        <f>'[3]2. Propagácia a marketing'!$AI$51</f>
        <v>11700</v>
      </c>
      <c r="N35" s="270">
        <f>'[3]2. Propagácia a marketing'!$AJ$51</f>
        <v>0</v>
      </c>
      <c r="O35" s="641">
        <f>'[3]2. Propagácia a marketing'!$AK$51</f>
        <v>0</v>
      </c>
      <c r="P35" s="269">
        <f>SUM(Q35:S35)</f>
        <v>11700</v>
      </c>
      <c r="Q35" s="270">
        <f>'[4]2. Propagácia a marketing'!$AL$51</f>
        <v>11700</v>
      </c>
      <c r="R35" s="270">
        <f>'[4]2. Propagácia a marketing'!$AM$51</f>
        <v>0</v>
      </c>
      <c r="S35" s="270">
        <f>'[4]2. Propagácia a marketing'!$AN$51</f>
        <v>0</v>
      </c>
      <c r="T35" s="269">
        <f>SUM(U35:W35)</f>
        <v>0</v>
      </c>
      <c r="U35" s="270">
        <f>'[4]2. Propagácia a marketing'!$AO$51</f>
        <v>0</v>
      </c>
      <c r="V35" s="270">
        <f>'[4]2. Propagácia a marketing'!$AP$51</f>
        <v>0</v>
      </c>
      <c r="W35" s="270">
        <f>'[4]2. Propagácia a marketing'!$AQ$51</f>
        <v>0</v>
      </c>
      <c r="X35" s="269">
        <f>SUM(Y35:AA35)</f>
        <v>2700</v>
      </c>
      <c r="Y35" s="270">
        <f>'[4]2. Propagácia a marketing'!$AR$51</f>
        <v>2700</v>
      </c>
      <c r="Z35" s="270">
        <f>'[4]2. Propagácia a marketing'!$AS$51</f>
        <v>0</v>
      </c>
      <c r="AA35" s="270">
        <f>'[4]2. Propagácia a marketing'!$AT$51</f>
        <v>0</v>
      </c>
      <c r="AB35" s="269">
        <f>SUM(AC35:AE35)</f>
        <v>14400</v>
      </c>
      <c r="AC35" s="270">
        <f>'[4]2. Propagácia a marketing'!$AU$51</f>
        <v>14400</v>
      </c>
      <c r="AD35" s="270">
        <f>'[4]2. Propagácia a marketing'!$AV$51</f>
        <v>0</v>
      </c>
      <c r="AE35" s="303">
        <f>'[4]2. Propagácia a marketing'!$AW$51</f>
        <v>0</v>
      </c>
    </row>
    <row r="36" spans="1:31" s="123" customFormat="1" ht="15.75" x14ac:dyDescent="0.25">
      <c r="A36" s="111"/>
      <c r="B36" s="277" t="s">
        <v>186</v>
      </c>
      <c r="C36" s="405"/>
      <c r="D36" s="557">
        <f t="shared" ref="D36:G36" si="62">D37+D38+D39+D44+D45</f>
        <v>385594.04</v>
      </c>
      <c r="E36" s="558">
        <f t="shared" si="62"/>
        <v>375436.81999999995</v>
      </c>
      <c r="F36" s="558">
        <f t="shared" si="62"/>
        <v>10157.219999999999</v>
      </c>
      <c r="G36" s="559">
        <f t="shared" si="62"/>
        <v>0</v>
      </c>
      <c r="H36" s="557">
        <f t="shared" ref="H36:K36" si="63">H37+H38+H39+H44+H45</f>
        <v>304493.24999999994</v>
      </c>
      <c r="I36" s="558">
        <f t="shared" si="63"/>
        <v>292991.64999999997</v>
      </c>
      <c r="J36" s="558">
        <f t="shared" si="63"/>
        <v>11501.6</v>
      </c>
      <c r="K36" s="559">
        <f t="shared" si="63"/>
        <v>0</v>
      </c>
      <c r="L36" s="267">
        <f t="shared" ref="L36:S36" si="64">L37+L38+L39+L44+L45</f>
        <v>428220</v>
      </c>
      <c r="M36" s="268">
        <f t="shared" si="64"/>
        <v>428220</v>
      </c>
      <c r="N36" s="268">
        <f t="shared" si="64"/>
        <v>0</v>
      </c>
      <c r="O36" s="355">
        <f t="shared" si="64"/>
        <v>0</v>
      </c>
      <c r="P36" s="267">
        <f t="shared" si="64"/>
        <v>428220</v>
      </c>
      <c r="Q36" s="268">
        <f t="shared" si="64"/>
        <v>428220</v>
      </c>
      <c r="R36" s="268">
        <f t="shared" si="64"/>
        <v>0</v>
      </c>
      <c r="S36" s="355">
        <f t="shared" si="64"/>
        <v>0</v>
      </c>
      <c r="T36" s="267">
        <f t="shared" ref="T36:W36" si="65">T37+T38+T39+T44+T45</f>
        <v>114625.27999999998</v>
      </c>
      <c r="U36" s="268">
        <f t="shared" si="65"/>
        <v>114625.27999999998</v>
      </c>
      <c r="V36" s="268">
        <f t="shared" si="65"/>
        <v>0</v>
      </c>
      <c r="W36" s="355">
        <f t="shared" si="65"/>
        <v>0</v>
      </c>
      <c r="X36" s="267">
        <f t="shared" ref="X36:AE36" si="66">X37+X38+X39+X44+X45</f>
        <v>13998</v>
      </c>
      <c r="Y36" s="268">
        <f t="shared" si="66"/>
        <v>-6002</v>
      </c>
      <c r="Z36" s="268">
        <f t="shared" si="66"/>
        <v>20000</v>
      </c>
      <c r="AA36" s="355">
        <f t="shared" si="66"/>
        <v>0</v>
      </c>
      <c r="AB36" s="267">
        <f t="shared" si="66"/>
        <v>442218</v>
      </c>
      <c r="AC36" s="268">
        <f t="shared" si="66"/>
        <v>422218</v>
      </c>
      <c r="AD36" s="268">
        <f t="shared" si="66"/>
        <v>20000</v>
      </c>
      <c r="AE36" s="355">
        <f t="shared" si="66"/>
        <v>0</v>
      </c>
    </row>
    <row r="37" spans="1:31" ht="15.75" x14ac:dyDescent="0.25">
      <c r="A37" s="121"/>
      <c r="B37" s="273" t="s">
        <v>187</v>
      </c>
      <c r="C37" s="274" t="s">
        <v>188</v>
      </c>
      <c r="D37" s="560">
        <f>SUM(E37:G37)</f>
        <v>77675.92</v>
      </c>
      <c r="E37" s="561">
        <f>'[1]3.Interné služby'!$AF$4</f>
        <v>77675.92</v>
      </c>
      <c r="F37" s="561">
        <f>'[1]3.Interné služby'!$AG$4</f>
        <v>0</v>
      </c>
      <c r="G37" s="562">
        <f>'[1]3.Interné služby'!$AH$4</f>
        <v>0</v>
      </c>
      <c r="H37" s="560">
        <f>SUM(I37:K37)</f>
        <v>87573.440000000002</v>
      </c>
      <c r="I37" s="561">
        <f>'[2]3.Interné služby'!$AI$4</f>
        <v>82456.639999999999</v>
      </c>
      <c r="J37" s="561">
        <f>'[2]3.Interné služby'!$AJ$4</f>
        <v>5116.8</v>
      </c>
      <c r="K37" s="562">
        <f>'[2]3.Interné služby'!$AK$4</f>
        <v>0</v>
      </c>
      <c r="L37" s="261">
        <f>SUM(M37:O37)</f>
        <v>121650</v>
      </c>
      <c r="M37" s="259">
        <f>'[3]3.Interné služby'!$AI$4</f>
        <v>121650</v>
      </c>
      <c r="N37" s="259">
        <f>'[3]3.Interné služby'!$AJ$4</f>
        <v>0</v>
      </c>
      <c r="O37" s="356">
        <f>'[3]3.Interné služby'!$AK$4</f>
        <v>0</v>
      </c>
      <c r="P37" s="261">
        <f>SUM(Q37:S37)</f>
        <v>121650</v>
      </c>
      <c r="Q37" s="259">
        <f>'[4]3.Interné služby'!$AL$4</f>
        <v>121650</v>
      </c>
      <c r="R37" s="259">
        <f>'[4]3.Interné služby'!$AM$4</f>
        <v>0</v>
      </c>
      <c r="S37" s="259">
        <f>'[4]3.Interné služby'!$AN$4</f>
        <v>0</v>
      </c>
      <c r="T37" s="261">
        <f>SUM(U37:W37)</f>
        <v>27281.550000000003</v>
      </c>
      <c r="U37" s="259">
        <f>'[4]3.Interné služby'!$AO$4</f>
        <v>27281.550000000003</v>
      </c>
      <c r="V37" s="259">
        <f>'[4]3.Interné služby'!$AP$4</f>
        <v>0</v>
      </c>
      <c r="W37" s="259">
        <f>'[4]3.Interné služby'!$AQ$4</f>
        <v>0</v>
      </c>
      <c r="X37" s="261">
        <f>SUM(Y37:AA37)</f>
        <v>-8002</v>
      </c>
      <c r="Y37" s="259">
        <f>'[4]3.Interné služby'!$AR$4</f>
        <v>-8002</v>
      </c>
      <c r="Z37" s="259">
        <f>'[4]3.Interné služby'!$AS$4</f>
        <v>0</v>
      </c>
      <c r="AA37" s="259">
        <f>'[4]3.Interné služby'!$AT$4</f>
        <v>0</v>
      </c>
      <c r="AB37" s="261">
        <f>SUM(AC37:AE37)</f>
        <v>113648</v>
      </c>
      <c r="AC37" s="259">
        <f>'[4]3.Interné služby'!$AU$4</f>
        <v>113648</v>
      </c>
      <c r="AD37" s="259">
        <f>'[4]3.Interné služby'!$AV$4</f>
        <v>0</v>
      </c>
      <c r="AE37" s="260">
        <f>'[4]3.Interné služby'!$AW$4</f>
        <v>0</v>
      </c>
    </row>
    <row r="38" spans="1:31" ht="15.75" x14ac:dyDescent="0.25">
      <c r="A38" s="124"/>
      <c r="B38" s="273" t="s">
        <v>189</v>
      </c>
      <c r="C38" s="274" t="s">
        <v>190</v>
      </c>
      <c r="D38" s="560">
        <f>SUM(E38:G38)</f>
        <v>114266.5</v>
      </c>
      <c r="E38" s="561">
        <f>'[1]3.Interné služby'!$AF$23</f>
        <v>114266.5</v>
      </c>
      <c r="F38" s="561">
        <f>'[1]3.Interné služby'!$AG$23</f>
        <v>0</v>
      </c>
      <c r="G38" s="562">
        <f>'[1]3.Interné služby'!$AH$23</f>
        <v>0</v>
      </c>
      <c r="H38" s="560">
        <f>SUM(I38:K38)</f>
        <v>73.8</v>
      </c>
      <c r="I38" s="561">
        <f>'[2]3.Interné služby'!$AI$23</f>
        <v>73.8</v>
      </c>
      <c r="J38" s="561">
        <f>'[2]3.Interné služby'!$AJ$23</f>
        <v>0</v>
      </c>
      <c r="K38" s="562">
        <f>'[2]3.Interné služby'!$AK$23</f>
        <v>0</v>
      </c>
      <c r="L38" s="261">
        <f>SUM(M38:O38)</f>
        <v>1000</v>
      </c>
      <c r="M38" s="259">
        <f>'[3]3.Interné služby'!$AI$23</f>
        <v>1000</v>
      </c>
      <c r="N38" s="259">
        <f>'[3]3.Interné služby'!$AJ$23</f>
        <v>0</v>
      </c>
      <c r="O38" s="356">
        <f>'[3]3.Interné služby'!$AK$23</f>
        <v>0</v>
      </c>
      <c r="P38" s="261">
        <f>SUM(Q38:S38)</f>
        <v>1000</v>
      </c>
      <c r="Q38" s="259">
        <f>'[4]3.Interné služby'!$AL$23</f>
        <v>1000</v>
      </c>
      <c r="R38" s="259">
        <f>'[4]3.Interné služby'!$AM$23</f>
        <v>0</v>
      </c>
      <c r="S38" s="259">
        <f>'[4]3.Interné služby'!$AN$23</f>
        <v>0</v>
      </c>
      <c r="T38" s="261">
        <f>SUM(U38:W38)</f>
        <v>172.6</v>
      </c>
      <c r="U38" s="259">
        <f>'[4]3.Interné služby'!$AO$23</f>
        <v>172.6</v>
      </c>
      <c r="V38" s="259">
        <f>'[4]3.Interné služby'!$AP$23</f>
        <v>0</v>
      </c>
      <c r="W38" s="259">
        <f>'[4]3.Interné služby'!$AQ$23</f>
        <v>0</v>
      </c>
      <c r="X38" s="261">
        <f>SUM(Y38:AA38)</f>
        <v>0</v>
      </c>
      <c r="Y38" s="259">
        <f>'[4]3.Interné služby'!$AR$23</f>
        <v>0</v>
      </c>
      <c r="Z38" s="259">
        <f>'[4]3.Interné služby'!$AS$23</f>
        <v>0</v>
      </c>
      <c r="AA38" s="259">
        <f>'[4]3.Interné služby'!$AT$23</f>
        <v>0</v>
      </c>
      <c r="AB38" s="261">
        <f>SUM(AC38:AE38)</f>
        <v>1000</v>
      </c>
      <c r="AC38" s="259">
        <f>'[4]3.Interné služby'!$AU$23</f>
        <v>1000</v>
      </c>
      <c r="AD38" s="259">
        <f>'[4]3.Interné služby'!$AV$23</f>
        <v>0</v>
      </c>
      <c r="AE38" s="260">
        <f>'[4]3.Interné služby'!$AW$23</f>
        <v>0</v>
      </c>
    </row>
    <row r="39" spans="1:31" ht="15.75" x14ac:dyDescent="0.25">
      <c r="B39" s="273" t="s">
        <v>191</v>
      </c>
      <c r="C39" s="274" t="s">
        <v>192</v>
      </c>
      <c r="D39" s="560">
        <f t="shared" ref="D39:G39" si="67">SUM(D40:D43)</f>
        <v>189369.06999999998</v>
      </c>
      <c r="E39" s="561">
        <f t="shared" si="67"/>
        <v>179211.84999999998</v>
      </c>
      <c r="F39" s="561">
        <f t="shared" si="67"/>
        <v>10157.219999999999</v>
      </c>
      <c r="G39" s="562">
        <f t="shared" si="67"/>
        <v>0</v>
      </c>
      <c r="H39" s="560">
        <f t="shared" ref="H39:K39" si="68">SUM(H40:H43)</f>
        <v>211994.58999999994</v>
      </c>
      <c r="I39" s="561">
        <f t="shared" si="68"/>
        <v>205609.78999999995</v>
      </c>
      <c r="J39" s="561">
        <f t="shared" si="68"/>
        <v>6384.8</v>
      </c>
      <c r="K39" s="562">
        <f t="shared" si="68"/>
        <v>0</v>
      </c>
      <c r="L39" s="261">
        <f t="shared" ref="L39:Q39" si="69">SUM(L40:L43)</f>
        <v>298570</v>
      </c>
      <c r="M39" s="259">
        <f t="shared" si="69"/>
        <v>298570</v>
      </c>
      <c r="N39" s="259">
        <f t="shared" si="69"/>
        <v>0</v>
      </c>
      <c r="O39" s="356">
        <f t="shared" si="69"/>
        <v>0</v>
      </c>
      <c r="P39" s="261">
        <f t="shared" si="69"/>
        <v>298570</v>
      </c>
      <c r="Q39" s="259">
        <f t="shared" si="69"/>
        <v>298570</v>
      </c>
      <c r="R39" s="259">
        <f>SUM(R40:R43)</f>
        <v>0</v>
      </c>
      <c r="S39" s="356">
        <f t="shared" ref="S39" si="70">SUM(S40:S43)</f>
        <v>0</v>
      </c>
      <c r="T39" s="261">
        <f t="shared" ref="T39:W39" si="71">SUM(T40:T43)</f>
        <v>84754.34</v>
      </c>
      <c r="U39" s="259">
        <f t="shared" si="71"/>
        <v>84754.34</v>
      </c>
      <c r="V39" s="259">
        <f>SUM(V40:V43)</f>
        <v>0</v>
      </c>
      <c r="W39" s="356">
        <f t="shared" si="71"/>
        <v>0</v>
      </c>
      <c r="X39" s="261">
        <f t="shared" ref="X39:Y39" si="72">SUM(X40:X43)</f>
        <v>22000</v>
      </c>
      <c r="Y39" s="259">
        <f t="shared" si="72"/>
        <v>2000</v>
      </c>
      <c r="Z39" s="259">
        <f>SUM(Z40:Z43)</f>
        <v>20000</v>
      </c>
      <c r="AA39" s="356">
        <f t="shared" ref="AA39:AC39" si="73">SUM(AA40:AA43)</f>
        <v>0</v>
      </c>
      <c r="AB39" s="261">
        <f t="shared" si="73"/>
        <v>320570</v>
      </c>
      <c r="AC39" s="259">
        <f t="shared" si="73"/>
        <v>300570</v>
      </c>
      <c r="AD39" s="259">
        <f>SUM(AD40:AD43)</f>
        <v>20000</v>
      </c>
      <c r="AE39" s="356">
        <f t="shared" ref="AE39" si="74">SUM(AE40:AE43)</f>
        <v>0</v>
      </c>
    </row>
    <row r="40" spans="1:31" ht="15.75" x14ac:dyDescent="0.25">
      <c r="B40" s="273">
        <v>1</v>
      </c>
      <c r="C40" s="274" t="s">
        <v>193</v>
      </c>
      <c r="D40" s="560">
        <f t="shared" ref="D40:D45" si="75">SUM(E40:G40)</f>
        <v>2459.1000000000004</v>
      </c>
      <c r="E40" s="561">
        <f>'[1]3.Interné služby'!$AF$29</f>
        <v>2459.1000000000004</v>
      </c>
      <c r="F40" s="561">
        <f>'[1]3.Interné služby'!$AG$29</f>
        <v>0</v>
      </c>
      <c r="G40" s="562">
        <f>'[1]3.Interné služby'!$AH$29</f>
        <v>0</v>
      </c>
      <c r="H40" s="560">
        <f t="shared" ref="H40:H45" si="76">SUM(I40:K40)</f>
        <v>744</v>
      </c>
      <c r="I40" s="561">
        <f>'[2]3.Interné služby'!$AI$29</f>
        <v>744</v>
      </c>
      <c r="J40" s="561">
        <f>'[2]3.Interné služby'!$AJ$29</f>
        <v>0</v>
      </c>
      <c r="K40" s="562">
        <f>'[2]3.Interné služby'!$AK$29</f>
        <v>0</v>
      </c>
      <c r="L40" s="261">
        <f t="shared" ref="L40:L45" si="77">SUM(M40:O40)</f>
        <v>2300</v>
      </c>
      <c r="M40" s="259">
        <f>'[3]3.Interné služby'!$AI$29</f>
        <v>2300</v>
      </c>
      <c r="N40" s="259">
        <f>'[3]3.Interné služby'!$AJ$29</f>
        <v>0</v>
      </c>
      <c r="O40" s="356">
        <f>'[3]3.Interné služby'!$AK$29</f>
        <v>0</v>
      </c>
      <c r="P40" s="261">
        <f t="shared" ref="P40:P45" si="78">SUM(Q40:S40)</f>
        <v>2300</v>
      </c>
      <c r="Q40" s="259">
        <f>'[4]3.Interné služby'!$AL$29</f>
        <v>2300</v>
      </c>
      <c r="R40" s="259">
        <f>'[4]3.Interné služby'!$AM$29</f>
        <v>0</v>
      </c>
      <c r="S40" s="259">
        <f>'[4]3.Interné služby'!$AN$29</f>
        <v>0</v>
      </c>
      <c r="T40" s="261">
        <f t="shared" ref="T40:T45" si="79">SUM(U40:W40)</f>
        <v>445.37</v>
      </c>
      <c r="U40" s="259">
        <f>'[4]3.Interné služby'!$AO$29</f>
        <v>445.37</v>
      </c>
      <c r="V40" s="259">
        <f>'[4]3.Interné služby'!$AP$29</f>
        <v>0</v>
      </c>
      <c r="W40" s="259">
        <f>'[4]3.Interné služby'!$AQ$29</f>
        <v>0</v>
      </c>
      <c r="X40" s="261">
        <f t="shared" ref="X40:X45" si="80">SUM(Y40:AA40)</f>
        <v>0</v>
      </c>
      <c r="Y40" s="259">
        <f>'[4]3.Interné služby'!$AR$29</f>
        <v>0</v>
      </c>
      <c r="Z40" s="259">
        <f>'[4]3.Interné služby'!$AS$29</f>
        <v>0</v>
      </c>
      <c r="AA40" s="259">
        <f>'[4]3.Interné služby'!$AT$29</f>
        <v>0</v>
      </c>
      <c r="AB40" s="261">
        <f t="shared" ref="AB40:AB45" si="81">SUM(AC40:AE40)</f>
        <v>2300</v>
      </c>
      <c r="AC40" s="259">
        <f>'[4]3.Interné služby'!$AU$29</f>
        <v>2300</v>
      </c>
      <c r="AD40" s="259">
        <f>'[4]3.Interné služby'!$AV$29</f>
        <v>0</v>
      </c>
      <c r="AE40" s="260">
        <f>'[4]3.Interné služby'!$AW$29</f>
        <v>0</v>
      </c>
    </row>
    <row r="41" spans="1:31" ht="15.75" x14ac:dyDescent="0.25">
      <c r="B41" s="273">
        <v>2</v>
      </c>
      <c r="C41" s="274" t="s">
        <v>194</v>
      </c>
      <c r="D41" s="560">
        <f t="shared" si="75"/>
        <v>15772.080000000002</v>
      </c>
      <c r="E41" s="561">
        <f>'[1]3.Interné služby'!$AF$34</f>
        <v>15772.080000000002</v>
      </c>
      <c r="F41" s="561">
        <f>'[1]3.Interné služby'!$AG$34</f>
        <v>0</v>
      </c>
      <c r="G41" s="562">
        <f>'[1]3.Interné služby'!$AH$34</f>
        <v>0</v>
      </c>
      <c r="H41" s="560">
        <f t="shared" si="76"/>
        <v>16390.490000000002</v>
      </c>
      <c r="I41" s="561">
        <f>'[2]3.Interné služby'!$AI$34</f>
        <v>16390.490000000002</v>
      </c>
      <c r="J41" s="561">
        <f>'[2]3.Interné služby'!$AJ$34</f>
        <v>0</v>
      </c>
      <c r="K41" s="562">
        <f>'[2]3.Interné služby'!$AK$34</f>
        <v>0</v>
      </c>
      <c r="L41" s="261">
        <f t="shared" si="77"/>
        <v>15700</v>
      </c>
      <c r="M41" s="259">
        <f>'[3]3.Interné služby'!$AI$34</f>
        <v>15700</v>
      </c>
      <c r="N41" s="259">
        <f>'[3]3.Interné služby'!$AJ$34</f>
        <v>0</v>
      </c>
      <c r="O41" s="356">
        <f>'[3]3.Interné služby'!$AK$34</f>
        <v>0</v>
      </c>
      <c r="P41" s="261">
        <f t="shared" si="78"/>
        <v>15700</v>
      </c>
      <c r="Q41" s="259">
        <f>'[4]3.Interné služby'!$AL$34</f>
        <v>15700</v>
      </c>
      <c r="R41" s="259">
        <f>'[4]3.Interné služby'!$AM$34</f>
        <v>0</v>
      </c>
      <c r="S41" s="259">
        <f>'[4]3.Interné služby'!$AN$34</f>
        <v>0</v>
      </c>
      <c r="T41" s="261">
        <f t="shared" si="79"/>
        <v>7205.45</v>
      </c>
      <c r="U41" s="259">
        <f>'[4]3.Interné služby'!$AO$34</f>
        <v>7205.45</v>
      </c>
      <c r="V41" s="259">
        <f>'[4]3.Interné služby'!$AP$34</f>
        <v>0</v>
      </c>
      <c r="W41" s="259">
        <f>'[4]3.Interné služby'!$AQ$34</f>
        <v>0</v>
      </c>
      <c r="X41" s="261">
        <f t="shared" si="80"/>
        <v>0</v>
      </c>
      <c r="Y41" s="259">
        <f>'[4]3.Interné služby'!$AR$34</f>
        <v>0</v>
      </c>
      <c r="Z41" s="259">
        <f>'[4]3.Interné služby'!$AS$34</f>
        <v>0</v>
      </c>
      <c r="AA41" s="259">
        <f>'[4]3.Interné služby'!$AT$34</f>
        <v>0</v>
      </c>
      <c r="AB41" s="261">
        <f t="shared" si="81"/>
        <v>15700</v>
      </c>
      <c r="AC41" s="259">
        <f>'[4]3.Interné služby'!$AU$34</f>
        <v>15700</v>
      </c>
      <c r="AD41" s="259">
        <f>'[4]3.Interné služby'!$AV$34</f>
        <v>0</v>
      </c>
      <c r="AE41" s="260">
        <f>'[4]3.Interné služby'!$AW$34</f>
        <v>0</v>
      </c>
    </row>
    <row r="42" spans="1:31" ht="15.75" x14ac:dyDescent="0.25">
      <c r="B42" s="273">
        <v>3</v>
      </c>
      <c r="C42" s="274" t="s">
        <v>195</v>
      </c>
      <c r="D42" s="560">
        <f t="shared" si="75"/>
        <v>159581.66999999998</v>
      </c>
      <c r="E42" s="561">
        <f>'[1]3.Interné služby'!$AF$37</f>
        <v>159579.66999999998</v>
      </c>
      <c r="F42" s="561">
        <f>'[1]3.Interné služby'!$AG$37</f>
        <v>2</v>
      </c>
      <c r="G42" s="562">
        <f>'[1]3.Interné služby'!$AH$37</f>
        <v>0</v>
      </c>
      <c r="H42" s="560">
        <f t="shared" si="76"/>
        <v>188175.29999999996</v>
      </c>
      <c r="I42" s="561">
        <f>'[2]3.Interné služby'!$AI$37</f>
        <v>188175.29999999996</v>
      </c>
      <c r="J42" s="561">
        <f>'[2]3.Interné služby'!$AJ$37</f>
        <v>0</v>
      </c>
      <c r="K42" s="562">
        <f>'[2]3.Interné služby'!$AK$37</f>
        <v>0</v>
      </c>
      <c r="L42" s="261">
        <f t="shared" si="77"/>
        <v>279570</v>
      </c>
      <c r="M42" s="259">
        <f>'[3]3.Interné služby'!$AI$37</f>
        <v>279570</v>
      </c>
      <c r="N42" s="259">
        <f>'[3]3.Interné služby'!$AJ$37</f>
        <v>0</v>
      </c>
      <c r="O42" s="356">
        <f>'[3]3.Interné služby'!$AK$37</f>
        <v>0</v>
      </c>
      <c r="P42" s="261">
        <f t="shared" si="78"/>
        <v>278570</v>
      </c>
      <c r="Q42" s="259">
        <f>'[4]3.Interné služby'!$AL$37</f>
        <v>278570</v>
      </c>
      <c r="R42" s="259">
        <f>'[4]3.Interné služby'!$AM$37</f>
        <v>0</v>
      </c>
      <c r="S42" s="259">
        <f>'[4]3.Interné služby'!$AN$37</f>
        <v>0</v>
      </c>
      <c r="T42" s="261">
        <f t="shared" si="79"/>
        <v>76846.449999999983</v>
      </c>
      <c r="U42" s="259">
        <f>'[4]3.Interné služby'!$AO$37</f>
        <v>76846.449999999983</v>
      </c>
      <c r="V42" s="259">
        <f>'[4]3.Interné služby'!$AP$37</f>
        <v>0</v>
      </c>
      <c r="W42" s="259">
        <f>'[4]3.Interné služby'!$AQ$37</f>
        <v>0</v>
      </c>
      <c r="X42" s="261">
        <f t="shared" si="80"/>
        <v>-2000</v>
      </c>
      <c r="Y42" s="259">
        <f>'[4]3.Interné služby'!$AR$37</f>
        <v>-2000</v>
      </c>
      <c r="Z42" s="259">
        <f>'[4]3.Interné služby'!$AS$37</f>
        <v>0</v>
      </c>
      <c r="AA42" s="259">
        <f>'[4]3.Interné služby'!$AT$37</f>
        <v>0</v>
      </c>
      <c r="AB42" s="261">
        <f t="shared" si="81"/>
        <v>276570</v>
      </c>
      <c r="AC42" s="259">
        <f>'[4]3.Interné služby'!$AU$37</f>
        <v>276570</v>
      </c>
      <c r="AD42" s="259">
        <f>'[4]3.Interné služby'!$AV$37</f>
        <v>0</v>
      </c>
      <c r="AE42" s="260">
        <f>'[4]3.Interné služby'!$AW$37</f>
        <v>0</v>
      </c>
    </row>
    <row r="43" spans="1:31" ht="15.75" x14ac:dyDescent="0.25">
      <c r="B43" s="273">
        <v>4</v>
      </c>
      <c r="C43" s="274" t="s">
        <v>196</v>
      </c>
      <c r="D43" s="560">
        <f t="shared" si="75"/>
        <v>11556.22</v>
      </c>
      <c r="E43" s="561">
        <f>'[1]3.Interné služby'!$AF$95</f>
        <v>1401</v>
      </c>
      <c r="F43" s="561">
        <f>'[1]3.Interné služby'!$AG$95</f>
        <v>10155.219999999999</v>
      </c>
      <c r="G43" s="562">
        <f>'[1]3.Interné služby'!$AH$95</f>
        <v>0</v>
      </c>
      <c r="H43" s="560">
        <f t="shared" si="76"/>
        <v>6684.8</v>
      </c>
      <c r="I43" s="561">
        <f>'[2]3.Interné služby'!$AI$95</f>
        <v>300</v>
      </c>
      <c r="J43" s="561">
        <f>'[2]3.Interné služby'!$AJ$95</f>
        <v>6384.8</v>
      </c>
      <c r="K43" s="562">
        <f>'[2]3.Interné služby'!$AK$95</f>
        <v>0</v>
      </c>
      <c r="L43" s="261">
        <f t="shared" si="77"/>
        <v>1000</v>
      </c>
      <c r="M43" s="259">
        <f>'[3]3.Interné služby'!$AI$95</f>
        <v>1000</v>
      </c>
      <c r="N43" s="259">
        <f>'[3]3.Interné služby'!$AJ$95</f>
        <v>0</v>
      </c>
      <c r="O43" s="356">
        <f>'[3]3.Interné služby'!$AK$95</f>
        <v>0</v>
      </c>
      <c r="P43" s="261">
        <f t="shared" si="78"/>
        <v>2000</v>
      </c>
      <c r="Q43" s="259">
        <f>'[4]3.Interné služby'!$AL$95</f>
        <v>2000</v>
      </c>
      <c r="R43" s="259">
        <f>'[4]3.Interné služby'!$AM$95</f>
        <v>0</v>
      </c>
      <c r="S43" s="259">
        <f>'[4]3.Interné služby'!$AN$95</f>
        <v>0</v>
      </c>
      <c r="T43" s="261">
        <f t="shared" si="79"/>
        <v>257.07</v>
      </c>
      <c r="U43" s="259">
        <f>'[4]3.Interné služby'!$AO$95</f>
        <v>257.07</v>
      </c>
      <c r="V43" s="259">
        <f>'[4]3.Interné služby'!$AP$95</f>
        <v>0</v>
      </c>
      <c r="W43" s="259">
        <f>'[4]3.Interné služby'!$AQ$95</f>
        <v>0</v>
      </c>
      <c r="X43" s="261">
        <f t="shared" si="80"/>
        <v>24000</v>
      </c>
      <c r="Y43" s="259">
        <f>'[4]3.Interné služby'!$AR$95</f>
        <v>4000</v>
      </c>
      <c r="Z43" s="259">
        <f>'[4]3.Interné služby'!$AS$95</f>
        <v>20000</v>
      </c>
      <c r="AA43" s="259">
        <f>'[4]3.Interné služby'!$AT$95</f>
        <v>0</v>
      </c>
      <c r="AB43" s="261">
        <f t="shared" si="81"/>
        <v>26000</v>
      </c>
      <c r="AC43" s="259">
        <f>'[4]3.Interné služby'!$AU$95</f>
        <v>6000</v>
      </c>
      <c r="AD43" s="259">
        <f>'[4]3.Interné služby'!$AV$95</f>
        <v>20000</v>
      </c>
      <c r="AE43" s="260">
        <f>'[4]3.Interné služby'!$AW$95</f>
        <v>0</v>
      </c>
    </row>
    <row r="44" spans="1:31" ht="15.75" x14ac:dyDescent="0.25">
      <c r="B44" s="273" t="s">
        <v>197</v>
      </c>
      <c r="C44" s="274" t="s">
        <v>198</v>
      </c>
      <c r="D44" s="560">
        <f t="shared" si="75"/>
        <v>4282.55</v>
      </c>
      <c r="E44" s="561">
        <f>'[1]3.Interné služby'!$AF$100</f>
        <v>4282.55</v>
      </c>
      <c r="F44" s="561">
        <f>'[1]3.Interné služby'!$AG$100</f>
        <v>0</v>
      </c>
      <c r="G44" s="562">
        <f>'[1]3.Interné služby'!$AH$100</f>
        <v>0</v>
      </c>
      <c r="H44" s="560">
        <f t="shared" si="76"/>
        <v>4851.42</v>
      </c>
      <c r="I44" s="561">
        <f>'[2]3.Interné služby'!$AI$100</f>
        <v>4851.42</v>
      </c>
      <c r="J44" s="561">
        <f>'[2]3.Interné služby'!$AJ$100</f>
        <v>0</v>
      </c>
      <c r="K44" s="562">
        <f>'[2]3.Interné služby'!$AK$100</f>
        <v>0</v>
      </c>
      <c r="L44" s="261">
        <f t="shared" si="77"/>
        <v>7000</v>
      </c>
      <c r="M44" s="259">
        <f>'[3]3.Interné služby'!$AI$100</f>
        <v>7000</v>
      </c>
      <c r="N44" s="259">
        <f>'[3]3.Interné služby'!$AJ$100</f>
        <v>0</v>
      </c>
      <c r="O44" s="356">
        <f>'[3]3.Interné služby'!$AK$100</f>
        <v>0</v>
      </c>
      <c r="P44" s="261">
        <f t="shared" si="78"/>
        <v>7000</v>
      </c>
      <c r="Q44" s="259">
        <f>'[4]3.Interné služby'!$AL$100</f>
        <v>7000</v>
      </c>
      <c r="R44" s="259">
        <f>'[4]3.Interné služby'!$AM$100</f>
        <v>0</v>
      </c>
      <c r="S44" s="259">
        <f>'[4]3.Interné služby'!$AN$100</f>
        <v>0</v>
      </c>
      <c r="T44" s="261">
        <f t="shared" si="79"/>
        <v>2416.79</v>
      </c>
      <c r="U44" s="259">
        <f>'[4]3.Interné služby'!$AO$100</f>
        <v>2416.79</v>
      </c>
      <c r="V44" s="259">
        <f>'[4]3.Interné služby'!$AP$100</f>
        <v>0</v>
      </c>
      <c r="W44" s="259">
        <f>'[4]3.Interné služby'!$AQ$100</f>
        <v>0</v>
      </c>
      <c r="X44" s="261">
        <f t="shared" si="80"/>
        <v>0</v>
      </c>
      <c r="Y44" s="259">
        <f>'[4]3.Interné služby'!$AR$100</f>
        <v>0</v>
      </c>
      <c r="Z44" s="259">
        <f>'[4]3.Interné služby'!$AS$100</f>
        <v>0</v>
      </c>
      <c r="AA44" s="259">
        <f>'[4]3.Interné služby'!$AT$100</f>
        <v>0</v>
      </c>
      <c r="AB44" s="261">
        <f t="shared" si="81"/>
        <v>7000</v>
      </c>
      <c r="AC44" s="259">
        <f>'[4]3.Interné služby'!$AU$100</f>
        <v>7000</v>
      </c>
      <c r="AD44" s="259">
        <f>'[4]3.Interné služby'!$AV$100</f>
        <v>0</v>
      </c>
      <c r="AE44" s="260">
        <f>'[4]3.Interné služby'!$AW$100</f>
        <v>0</v>
      </c>
    </row>
    <row r="45" spans="1:31" ht="16.5" thickBot="1" x14ac:dyDescent="0.3">
      <c r="B45" s="280" t="s">
        <v>199</v>
      </c>
      <c r="C45" s="276" t="s">
        <v>200</v>
      </c>
      <c r="D45" s="563">
        <f t="shared" si="75"/>
        <v>0</v>
      </c>
      <c r="E45" s="564">
        <f>'[1]3.Interné služby'!$AF$106</f>
        <v>0</v>
      </c>
      <c r="F45" s="564">
        <f>'[1]3.Interné služby'!$AG$106</f>
        <v>0</v>
      </c>
      <c r="G45" s="565">
        <f>'[1]3.Interné služby'!$AH$106</f>
        <v>0</v>
      </c>
      <c r="H45" s="563">
        <f t="shared" si="76"/>
        <v>0</v>
      </c>
      <c r="I45" s="564">
        <f>'[2]3.Interné služby'!$AI$106</f>
        <v>0</v>
      </c>
      <c r="J45" s="564">
        <f>'[2]3.Interné služby'!$AJ$106</f>
        <v>0</v>
      </c>
      <c r="K45" s="565">
        <f>'[2]3.Interné služby'!$AK$106</f>
        <v>0</v>
      </c>
      <c r="L45" s="269">
        <f t="shared" si="77"/>
        <v>0</v>
      </c>
      <c r="M45" s="270">
        <f>'[3]3.Interné služby'!$AI$106</f>
        <v>0</v>
      </c>
      <c r="N45" s="270">
        <f>'[3]3.Interné služby'!$AJ$106</f>
        <v>0</v>
      </c>
      <c r="O45" s="641">
        <f>'[3]3.Interné služby'!$AK$106</f>
        <v>0</v>
      </c>
      <c r="P45" s="269">
        <f t="shared" si="78"/>
        <v>0</v>
      </c>
      <c r="Q45" s="270">
        <f>'[4]3.Interné služby'!$AL$106</f>
        <v>0</v>
      </c>
      <c r="R45" s="270">
        <f>'[4]3.Interné služby'!$AM$106</f>
        <v>0</v>
      </c>
      <c r="S45" s="270">
        <f>'[4]3.Interné služby'!$AN$106</f>
        <v>0</v>
      </c>
      <c r="T45" s="269">
        <f t="shared" si="79"/>
        <v>0</v>
      </c>
      <c r="U45" s="270">
        <f>'[4]3.Interné služby'!$AO$106</f>
        <v>0</v>
      </c>
      <c r="V45" s="270">
        <f>'[4]3.Interné služby'!$AP$106</f>
        <v>0</v>
      </c>
      <c r="W45" s="270">
        <f>'[4]3.Interné služby'!$AQ$106</f>
        <v>0</v>
      </c>
      <c r="X45" s="269">
        <f t="shared" si="80"/>
        <v>0</v>
      </c>
      <c r="Y45" s="270">
        <f>'[4]3.Interné služby'!$AR$106</f>
        <v>0</v>
      </c>
      <c r="Z45" s="270">
        <f>'[4]3.Interné služby'!$AS$106</f>
        <v>0</v>
      </c>
      <c r="AA45" s="270">
        <f>'[4]3.Interné služby'!$AT$106</f>
        <v>0</v>
      </c>
      <c r="AB45" s="269">
        <f t="shared" si="81"/>
        <v>0</v>
      </c>
      <c r="AC45" s="270">
        <f>'[4]3.Interné služby'!$AU$106</f>
        <v>0</v>
      </c>
      <c r="AD45" s="270">
        <f>'[4]3.Interné služby'!$AV$106</f>
        <v>0</v>
      </c>
      <c r="AE45" s="303">
        <f>'[4]3.Interné služby'!$AW$106</f>
        <v>0</v>
      </c>
    </row>
    <row r="46" spans="1:31" s="123" customFormat="1" ht="15.75" x14ac:dyDescent="0.25">
      <c r="B46" s="281" t="s">
        <v>201</v>
      </c>
      <c r="C46" s="282"/>
      <c r="D46" s="557">
        <f t="shared" ref="D46:G46" si="82">D47+D48+D51</f>
        <v>55121.020000000004</v>
      </c>
      <c r="E46" s="558">
        <f t="shared" si="82"/>
        <v>55121.020000000004</v>
      </c>
      <c r="F46" s="558">
        <f t="shared" si="82"/>
        <v>0</v>
      </c>
      <c r="G46" s="559">
        <f t="shared" si="82"/>
        <v>0</v>
      </c>
      <c r="H46" s="557">
        <f t="shared" ref="H46:K46" si="83">H47+H48+H51</f>
        <v>52766.450000000004</v>
      </c>
      <c r="I46" s="558">
        <f t="shared" si="83"/>
        <v>52766.450000000004</v>
      </c>
      <c r="J46" s="558">
        <f t="shared" si="83"/>
        <v>0</v>
      </c>
      <c r="K46" s="559">
        <f t="shared" si="83"/>
        <v>0</v>
      </c>
      <c r="L46" s="267">
        <f t="shared" ref="L46:S46" si="84">L47+L48+L51</f>
        <v>64350</v>
      </c>
      <c r="M46" s="268">
        <f t="shared" si="84"/>
        <v>64350</v>
      </c>
      <c r="N46" s="268">
        <f t="shared" si="84"/>
        <v>0</v>
      </c>
      <c r="O46" s="355">
        <f t="shared" si="84"/>
        <v>0</v>
      </c>
      <c r="P46" s="267">
        <f t="shared" si="84"/>
        <v>64350</v>
      </c>
      <c r="Q46" s="268">
        <f t="shared" si="84"/>
        <v>64350</v>
      </c>
      <c r="R46" s="268">
        <f t="shared" si="84"/>
        <v>0</v>
      </c>
      <c r="S46" s="355">
        <f t="shared" si="84"/>
        <v>0</v>
      </c>
      <c r="T46" s="267">
        <f t="shared" ref="T46:W46" si="85">T47+T48+T51</f>
        <v>20674.18</v>
      </c>
      <c r="U46" s="268">
        <f t="shared" si="85"/>
        <v>20674.18</v>
      </c>
      <c r="V46" s="268">
        <f t="shared" si="85"/>
        <v>0</v>
      </c>
      <c r="W46" s="355">
        <f t="shared" si="85"/>
        <v>0</v>
      </c>
      <c r="X46" s="267">
        <f t="shared" ref="X46:AE46" si="86">X47+X48+X51</f>
        <v>0</v>
      </c>
      <c r="Y46" s="268">
        <f t="shared" si="86"/>
        <v>0</v>
      </c>
      <c r="Z46" s="268">
        <f t="shared" si="86"/>
        <v>0</v>
      </c>
      <c r="AA46" s="355">
        <f t="shared" si="86"/>
        <v>0</v>
      </c>
      <c r="AB46" s="267">
        <f t="shared" si="86"/>
        <v>64350</v>
      </c>
      <c r="AC46" s="268">
        <f t="shared" si="86"/>
        <v>64350</v>
      </c>
      <c r="AD46" s="268">
        <f t="shared" si="86"/>
        <v>0</v>
      </c>
      <c r="AE46" s="355">
        <f t="shared" si="86"/>
        <v>0</v>
      </c>
    </row>
    <row r="47" spans="1:31" ht="15.75" x14ac:dyDescent="0.25">
      <c r="B47" s="273" t="s">
        <v>202</v>
      </c>
      <c r="C47" s="274" t="s">
        <v>203</v>
      </c>
      <c r="D47" s="560">
        <f>SUM(E47:G47)</f>
        <v>21559.89</v>
      </c>
      <c r="E47" s="561">
        <f>'[1]4.Služby občanov'!$AF$4</f>
        <v>21559.89</v>
      </c>
      <c r="F47" s="561">
        <f>'[1]4.Služby občanov'!$AG$4</f>
        <v>0</v>
      </c>
      <c r="G47" s="562">
        <f>'[1]4.Služby občanov'!$AH$4</f>
        <v>0</v>
      </c>
      <c r="H47" s="560">
        <f>SUM(I47:K47)</f>
        <v>19963.559999999998</v>
      </c>
      <c r="I47" s="561">
        <f>'[2]4.Služby občanov'!$AI$4</f>
        <v>19963.559999999998</v>
      </c>
      <c r="J47" s="561">
        <f>'[2]4.Služby občanov'!$AJ$4</f>
        <v>0</v>
      </c>
      <c r="K47" s="562">
        <f>'[2]4.Služby občanov'!$AK$4</f>
        <v>0</v>
      </c>
      <c r="L47" s="261">
        <f>SUM(M47:O47)</f>
        <v>28450</v>
      </c>
      <c r="M47" s="259">
        <f>'[3]4.Služby občanov'!$AI$4</f>
        <v>28450</v>
      </c>
      <c r="N47" s="259">
        <f>'[3]4.Služby občanov'!$AJ$4</f>
        <v>0</v>
      </c>
      <c r="O47" s="356">
        <f>'[3]4.Služby občanov'!$AK$4</f>
        <v>0</v>
      </c>
      <c r="P47" s="261">
        <f>SUM(Q47:S47)</f>
        <v>28450</v>
      </c>
      <c r="Q47" s="259">
        <f>'[4]4.Služby občanov'!$AL$4</f>
        <v>28450</v>
      </c>
      <c r="R47" s="259">
        <f>'[4]4.Služby občanov'!$AM$4</f>
        <v>0</v>
      </c>
      <c r="S47" s="259">
        <f>'[4]4.Služby občanov'!$AN$4</f>
        <v>0</v>
      </c>
      <c r="T47" s="261">
        <f>SUM(U47:W47)</f>
        <v>10310.66</v>
      </c>
      <c r="U47" s="259">
        <f>'[4]4.Služby občanov'!$AO$4</f>
        <v>10310.66</v>
      </c>
      <c r="V47" s="259">
        <f>'[4]4.Služby občanov'!$AP$4</f>
        <v>0</v>
      </c>
      <c r="W47" s="259">
        <f>'[4]4.Služby občanov'!$AQ$4</f>
        <v>0</v>
      </c>
      <c r="X47" s="261">
        <f>SUM(Y47:AA47)</f>
        <v>0</v>
      </c>
      <c r="Y47" s="259">
        <f>'[4]4.Služby občanov'!$AR$4</f>
        <v>0</v>
      </c>
      <c r="Z47" s="259">
        <f>'[4]4.Služby občanov'!$AS$4</f>
        <v>0</v>
      </c>
      <c r="AA47" s="259">
        <f>'[4]4.Služby občanov'!$AT$4</f>
        <v>0</v>
      </c>
      <c r="AB47" s="261">
        <f>SUM(AC47:AE47)</f>
        <v>28450</v>
      </c>
      <c r="AC47" s="259">
        <f>'[4]4.Služby občanov'!$AU$4</f>
        <v>28450</v>
      </c>
      <c r="AD47" s="259">
        <f>'[4]4.Služby občanov'!$AV$4</f>
        <v>0</v>
      </c>
      <c r="AE47" s="260">
        <f>'[4]4.Služby občanov'!$AW$4</f>
        <v>0</v>
      </c>
    </row>
    <row r="48" spans="1:31" ht="15.75" x14ac:dyDescent="0.25">
      <c r="A48" s="125"/>
      <c r="B48" s="273" t="s">
        <v>204</v>
      </c>
      <c r="C48" s="274" t="s">
        <v>205</v>
      </c>
      <c r="D48" s="560">
        <f t="shared" ref="D48:G48" si="87">SUM(D49:D50)</f>
        <v>33561.130000000005</v>
      </c>
      <c r="E48" s="561">
        <f t="shared" si="87"/>
        <v>33561.130000000005</v>
      </c>
      <c r="F48" s="561">
        <f t="shared" si="87"/>
        <v>0</v>
      </c>
      <c r="G48" s="562">
        <f t="shared" si="87"/>
        <v>0</v>
      </c>
      <c r="H48" s="560">
        <f t="shared" ref="H48:K48" si="88">SUM(H49:H50)</f>
        <v>32802.890000000007</v>
      </c>
      <c r="I48" s="561">
        <f t="shared" si="88"/>
        <v>32802.890000000007</v>
      </c>
      <c r="J48" s="561">
        <f t="shared" si="88"/>
        <v>0</v>
      </c>
      <c r="K48" s="562">
        <f t="shared" si="88"/>
        <v>0</v>
      </c>
      <c r="L48" s="261">
        <f t="shared" ref="L48:S48" si="89">SUM(L49:L50)</f>
        <v>35900</v>
      </c>
      <c r="M48" s="259">
        <f t="shared" si="89"/>
        <v>35900</v>
      </c>
      <c r="N48" s="259">
        <f t="shared" si="89"/>
        <v>0</v>
      </c>
      <c r="O48" s="356">
        <f t="shared" si="89"/>
        <v>0</v>
      </c>
      <c r="P48" s="261">
        <f t="shared" si="89"/>
        <v>35900</v>
      </c>
      <c r="Q48" s="259">
        <f t="shared" si="89"/>
        <v>35900</v>
      </c>
      <c r="R48" s="259">
        <f t="shared" si="89"/>
        <v>0</v>
      </c>
      <c r="S48" s="356">
        <f t="shared" si="89"/>
        <v>0</v>
      </c>
      <c r="T48" s="261">
        <f t="shared" ref="T48:W48" si="90">SUM(T49:T50)</f>
        <v>10363.520000000002</v>
      </c>
      <c r="U48" s="259">
        <f t="shared" si="90"/>
        <v>10363.520000000002</v>
      </c>
      <c r="V48" s="259">
        <f t="shared" si="90"/>
        <v>0</v>
      </c>
      <c r="W48" s="356">
        <f t="shared" si="90"/>
        <v>0</v>
      </c>
      <c r="X48" s="261">
        <f t="shared" ref="X48:AE48" si="91">SUM(X49:X50)</f>
        <v>0</v>
      </c>
      <c r="Y48" s="259">
        <f t="shared" si="91"/>
        <v>0</v>
      </c>
      <c r="Z48" s="259">
        <f t="shared" si="91"/>
        <v>0</v>
      </c>
      <c r="AA48" s="356">
        <f t="shared" si="91"/>
        <v>0</v>
      </c>
      <c r="AB48" s="261">
        <f t="shared" si="91"/>
        <v>35900</v>
      </c>
      <c r="AC48" s="259">
        <f t="shared" si="91"/>
        <v>35900</v>
      </c>
      <c r="AD48" s="259">
        <f t="shared" si="91"/>
        <v>0</v>
      </c>
      <c r="AE48" s="356">
        <f t="shared" si="91"/>
        <v>0</v>
      </c>
    </row>
    <row r="49" spans="1:31" ht="15.75" x14ac:dyDescent="0.25">
      <c r="A49" s="125"/>
      <c r="B49" s="273">
        <v>1</v>
      </c>
      <c r="C49" s="274" t="s">
        <v>206</v>
      </c>
      <c r="D49" s="560">
        <f>SUM(E49:G49)</f>
        <v>33561.130000000005</v>
      </c>
      <c r="E49" s="561">
        <f>'[1]4.Služby občanov'!$AF$17</f>
        <v>33561.130000000005</v>
      </c>
      <c r="F49" s="561">
        <f>'[1]4.Služby občanov'!$AG$17</f>
        <v>0</v>
      </c>
      <c r="G49" s="562">
        <f>'[1]4.Služby občanov'!$AH$17</f>
        <v>0</v>
      </c>
      <c r="H49" s="560">
        <f>SUM(I49:K49)</f>
        <v>32802.890000000007</v>
      </c>
      <c r="I49" s="561">
        <f>'[2]4.Služby občanov'!$AI$17</f>
        <v>32802.890000000007</v>
      </c>
      <c r="J49" s="561">
        <f>'[2]4.Služby občanov'!$AJ$17</f>
        <v>0</v>
      </c>
      <c r="K49" s="562">
        <f>'[2]4.Služby občanov'!$AK$17</f>
        <v>0</v>
      </c>
      <c r="L49" s="261">
        <f>SUM(M49:O49)</f>
        <v>33900</v>
      </c>
      <c r="M49" s="259">
        <f>'[3]4.Služby občanov'!$AI$17</f>
        <v>33900</v>
      </c>
      <c r="N49" s="259">
        <f>'[3]4.Služby občanov'!$AJ$17</f>
        <v>0</v>
      </c>
      <c r="O49" s="356">
        <f>'[3]4.Služby občanov'!$AK$17</f>
        <v>0</v>
      </c>
      <c r="P49" s="261">
        <f>SUM(Q49:S49)</f>
        <v>33900</v>
      </c>
      <c r="Q49" s="259">
        <f>'[4]4.Služby občanov'!$AL$17</f>
        <v>33900</v>
      </c>
      <c r="R49" s="259">
        <f>'[4]4.Služby občanov'!$AM$17</f>
        <v>0</v>
      </c>
      <c r="S49" s="259">
        <f>'[4]4.Služby občanov'!$AN$17</f>
        <v>0</v>
      </c>
      <c r="T49" s="261">
        <f>SUM(U49:W49)</f>
        <v>10363.520000000002</v>
      </c>
      <c r="U49" s="259">
        <f>'[4]4.Služby občanov'!$AO$17</f>
        <v>10363.520000000002</v>
      </c>
      <c r="V49" s="259">
        <f>'[4]4.Služby občanov'!$AP$17</f>
        <v>0</v>
      </c>
      <c r="W49" s="259">
        <f>'[4]4.Služby občanov'!$AQ$17</f>
        <v>0</v>
      </c>
      <c r="X49" s="261">
        <f>SUM(Y49:AA49)</f>
        <v>0</v>
      </c>
      <c r="Y49" s="259">
        <f>'[4]4.Služby občanov'!$AR$17</f>
        <v>0</v>
      </c>
      <c r="Z49" s="259">
        <f>'[4]4.Služby občanov'!$AS$17</f>
        <v>0</v>
      </c>
      <c r="AA49" s="259">
        <f>'[4]4.Služby občanov'!$AT$17</f>
        <v>0</v>
      </c>
      <c r="AB49" s="261">
        <f>SUM(AC49:AE49)</f>
        <v>33900</v>
      </c>
      <c r="AC49" s="259">
        <f>'[4]4.Služby občanov'!$AU$17</f>
        <v>33900</v>
      </c>
      <c r="AD49" s="259">
        <f>'[4]4.Služby občanov'!$AV$17</f>
        <v>0</v>
      </c>
      <c r="AE49" s="260">
        <f>'[4]4.Služby občanov'!$AW$17</f>
        <v>0</v>
      </c>
    </row>
    <row r="50" spans="1:31" ht="15.75" x14ac:dyDescent="0.25">
      <c r="A50" s="125"/>
      <c r="B50" s="273">
        <v>2</v>
      </c>
      <c r="C50" s="274" t="s">
        <v>207</v>
      </c>
      <c r="D50" s="560">
        <f>SUM(E50:G50)</f>
        <v>0</v>
      </c>
      <c r="E50" s="561">
        <f>'[1]4.Služby občanov'!$AF$29</f>
        <v>0</v>
      </c>
      <c r="F50" s="561">
        <f>'[1]4.Služby občanov'!$AG$29</f>
        <v>0</v>
      </c>
      <c r="G50" s="562">
        <f>'[1]4.Služby občanov'!$AH$29</f>
        <v>0</v>
      </c>
      <c r="H50" s="560">
        <f>SUM(I50:K50)</f>
        <v>0</v>
      </c>
      <c r="I50" s="561">
        <f>'[2]4.Služby občanov'!$AI$29</f>
        <v>0</v>
      </c>
      <c r="J50" s="561">
        <f>'[2]4.Služby občanov'!$AJ$29</f>
        <v>0</v>
      </c>
      <c r="K50" s="562">
        <f>'[2]4.Služby občanov'!$AK$29</f>
        <v>0</v>
      </c>
      <c r="L50" s="261">
        <f>SUM(M50:O50)</f>
        <v>2000</v>
      </c>
      <c r="M50" s="259">
        <f>'[3]4.Služby občanov'!$AI$29</f>
        <v>2000</v>
      </c>
      <c r="N50" s="259">
        <f>'[3]4.Služby občanov'!$AJ$29</f>
        <v>0</v>
      </c>
      <c r="O50" s="356">
        <f>'[3]4.Služby občanov'!$AK$29</f>
        <v>0</v>
      </c>
      <c r="P50" s="261">
        <f>SUM(Q50:S50)</f>
        <v>2000</v>
      </c>
      <c r="Q50" s="259">
        <f>'[4]4.Služby občanov'!$AL$29</f>
        <v>2000</v>
      </c>
      <c r="R50" s="259">
        <f>'[4]4.Služby občanov'!$AM$29</f>
        <v>0</v>
      </c>
      <c r="S50" s="259">
        <f>'[4]4.Služby občanov'!$AN$29</f>
        <v>0</v>
      </c>
      <c r="T50" s="261">
        <f>SUM(U50:W50)</f>
        <v>0</v>
      </c>
      <c r="U50" s="259">
        <f>'[4]4.Služby občanov'!$AO$29</f>
        <v>0</v>
      </c>
      <c r="V50" s="259">
        <f>'[4]4.Služby občanov'!$AP$29</f>
        <v>0</v>
      </c>
      <c r="W50" s="259">
        <f>'[4]4.Služby občanov'!$AQ$29</f>
        <v>0</v>
      </c>
      <c r="X50" s="261">
        <f>SUM(Y50:AA50)</f>
        <v>0</v>
      </c>
      <c r="Y50" s="259">
        <f>'[4]4.Služby občanov'!$AR$29</f>
        <v>0</v>
      </c>
      <c r="Z50" s="259">
        <f>'[4]4.Služby občanov'!$AS$29</f>
        <v>0</v>
      </c>
      <c r="AA50" s="259">
        <f>'[4]4.Služby občanov'!$AT$29</f>
        <v>0</v>
      </c>
      <c r="AB50" s="261">
        <f>SUM(AC50:AE50)</f>
        <v>2000</v>
      </c>
      <c r="AC50" s="259">
        <f>'[4]4.Služby občanov'!$AU$29</f>
        <v>2000</v>
      </c>
      <c r="AD50" s="259">
        <f>'[4]4.Služby občanov'!$AV$29</f>
        <v>0</v>
      </c>
      <c r="AE50" s="260">
        <f>'[4]4.Služby občanov'!$AW$29</f>
        <v>0</v>
      </c>
    </row>
    <row r="51" spans="1:31" ht="16.5" outlineLevel="1" thickBot="1" x14ac:dyDescent="0.3">
      <c r="A51" s="125"/>
      <c r="B51" s="283" t="s">
        <v>208</v>
      </c>
      <c r="C51" s="276" t="s">
        <v>209</v>
      </c>
      <c r="D51" s="560">
        <f>SUM(E51:G51)</f>
        <v>0</v>
      </c>
      <c r="E51" s="564">
        <f>'[1]4.Služby občanov'!$AF$31</f>
        <v>0</v>
      </c>
      <c r="F51" s="564">
        <f>'[1]4.Služby občanov'!$AG$31</f>
        <v>0</v>
      </c>
      <c r="G51" s="565">
        <f>'[1]4.Služby občanov'!$AH$31</f>
        <v>0</v>
      </c>
      <c r="H51" s="560">
        <f>SUM(I51:K51)</f>
        <v>0</v>
      </c>
      <c r="I51" s="564">
        <f>'[2]4.Služby občanov'!$AI$31</f>
        <v>0</v>
      </c>
      <c r="J51" s="564">
        <f>'[2]4.Služby občanov'!$AJ$31</f>
        <v>0</v>
      </c>
      <c r="K51" s="565">
        <f>'[2]4.Služby občanov'!$AK$31</f>
        <v>0</v>
      </c>
      <c r="L51" s="261">
        <f>SUM(M51:O51)</f>
        <v>0</v>
      </c>
      <c r="M51" s="270">
        <f>'[3]4.Služby občanov'!$AI$31</f>
        <v>0</v>
      </c>
      <c r="N51" s="270">
        <f>'[3]4.Služby občanov'!$AJ$31</f>
        <v>0</v>
      </c>
      <c r="O51" s="641">
        <f>'[3]4.Služby občanov'!$AK$31</f>
        <v>0</v>
      </c>
      <c r="P51" s="261">
        <f>SUM(Q51:S51)</f>
        <v>0</v>
      </c>
      <c r="Q51" s="270">
        <f>'[4]4.Služby občanov'!$AL$31</f>
        <v>0</v>
      </c>
      <c r="R51" s="270">
        <f>'[4]4.Služby občanov'!$AM$31</f>
        <v>0</v>
      </c>
      <c r="S51" s="270">
        <f>'[4]4.Služby občanov'!$AN$31</f>
        <v>0</v>
      </c>
      <c r="T51" s="261">
        <f>SUM(U51:W51)</f>
        <v>0</v>
      </c>
      <c r="U51" s="270">
        <f>'[4]4.Služby občanov'!$AO$31</f>
        <v>0</v>
      </c>
      <c r="V51" s="270">
        <f>'[4]4.Služby občanov'!$AP$31</f>
        <v>0</v>
      </c>
      <c r="W51" s="270">
        <f>'[4]4.Služby občanov'!$AQ$31</f>
        <v>0</v>
      </c>
      <c r="X51" s="261">
        <f>SUM(Y51:AA51)</f>
        <v>0</v>
      </c>
      <c r="Y51" s="270">
        <f>'[4]4.Služby občanov'!$AR$31</f>
        <v>0</v>
      </c>
      <c r="Z51" s="270">
        <f>'[4]4.Služby občanov'!$AS$31</f>
        <v>0</v>
      </c>
      <c r="AA51" s="270">
        <f>'[4]4.Služby občanov'!$AT$31</f>
        <v>0</v>
      </c>
      <c r="AB51" s="261">
        <f>SUM(AC51:AE51)</f>
        <v>0</v>
      </c>
      <c r="AC51" s="270">
        <f>'[4]4.Služby občanov'!$AU$31</f>
        <v>0</v>
      </c>
      <c r="AD51" s="270">
        <f>'[4]4.Služby občanov'!$AV$31</f>
        <v>0</v>
      </c>
      <c r="AE51" s="303">
        <f>'[4]4.Služby občanov'!$AW$31</f>
        <v>0</v>
      </c>
    </row>
    <row r="52" spans="1:31" s="123" customFormat="1" ht="15.75" x14ac:dyDescent="0.25">
      <c r="A52" s="125"/>
      <c r="B52" s="277" t="s">
        <v>210</v>
      </c>
      <c r="C52" s="284"/>
      <c r="D52" s="557">
        <f t="shared" ref="D52:G52" si="92">D53+D58+D60+D59+D65</f>
        <v>1341114.44</v>
      </c>
      <c r="E52" s="558">
        <f t="shared" si="92"/>
        <v>1226114.44</v>
      </c>
      <c r="F52" s="558">
        <f t="shared" si="92"/>
        <v>115000</v>
      </c>
      <c r="G52" s="559">
        <f t="shared" si="92"/>
        <v>0</v>
      </c>
      <c r="H52" s="557">
        <f t="shared" ref="H52:K52" si="93">H53+H58+H60+H59+H65</f>
        <v>1453248.4800000002</v>
      </c>
      <c r="I52" s="558">
        <f t="shared" si="93"/>
        <v>1261211.94</v>
      </c>
      <c r="J52" s="558">
        <f t="shared" si="93"/>
        <v>192036.53999999998</v>
      </c>
      <c r="K52" s="559">
        <f t="shared" si="93"/>
        <v>0</v>
      </c>
      <c r="L52" s="267">
        <f t="shared" ref="L52:S52" si="94">L53+L58+L60+L59+L65</f>
        <v>1580705</v>
      </c>
      <c r="M52" s="268">
        <f t="shared" si="94"/>
        <v>1447005</v>
      </c>
      <c r="N52" s="268">
        <f t="shared" si="94"/>
        <v>117700</v>
      </c>
      <c r="O52" s="355">
        <f t="shared" si="94"/>
        <v>16000</v>
      </c>
      <c r="P52" s="267">
        <f t="shared" si="94"/>
        <v>1580705</v>
      </c>
      <c r="Q52" s="268">
        <f t="shared" si="94"/>
        <v>1447005</v>
      </c>
      <c r="R52" s="268">
        <f t="shared" si="94"/>
        <v>117700</v>
      </c>
      <c r="S52" s="355">
        <f t="shared" si="94"/>
        <v>16000</v>
      </c>
      <c r="T52" s="267">
        <f t="shared" ref="T52:W52" si="95">T53+T58+T60+T59+T65</f>
        <v>437645.26000000007</v>
      </c>
      <c r="U52" s="268">
        <f t="shared" si="95"/>
        <v>432372.26000000007</v>
      </c>
      <c r="V52" s="268">
        <f t="shared" si="95"/>
        <v>2705</v>
      </c>
      <c r="W52" s="355">
        <f t="shared" si="95"/>
        <v>2568</v>
      </c>
      <c r="X52" s="267">
        <f t="shared" ref="X52:AE52" si="96">X53+X58+X60+X59+X65</f>
        <v>-4395</v>
      </c>
      <c r="Y52" s="268">
        <f t="shared" si="96"/>
        <v>-4400</v>
      </c>
      <c r="Z52" s="268">
        <f t="shared" si="96"/>
        <v>5</v>
      </c>
      <c r="AA52" s="355">
        <f t="shared" si="96"/>
        <v>0</v>
      </c>
      <c r="AB52" s="267">
        <f t="shared" si="96"/>
        <v>1576310</v>
      </c>
      <c r="AC52" s="268">
        <f t="shared" si="96"/>
        <v>1442605</v>
      </c>
      <c r="AD52" s="268">
        <f t="shared" si="96"/>
        <v>117705</v>
      </c>
      <c r="AE52" s="355">
        <f t="shared" si="96"/>
        <v>16000</v>
      </c>
    </row>
    <row r="53" spans="1:31" ht="15.75" x14ac:dyDescent="0.25">
      <c r="A53" s="125"/>
      <c r="B53" s="285" t="s">
        <v>211</v>
      </c>
      <c r="C53" s="274" t="s">
        <v>212</v>
      </c>
      <c r="D53" s="560">
        <f t="shared" ref="D53:G53" si="97">SUM(D54:D57)</f>
        <v>980709.42999999993</v>
      </c>
      <c r="E53" s="561">
        <f t="shared" si="97"/>
        <v>980709.42999999993</v>
      </c>
      <c r="F53" s="561">
        <f t="shared" si="97"/>
        <v>0</v>
      </c>
      <c r="G53" s="562">
        <f t="shared" si="97"/>
        <v>0</v>
      </c>
      <c r="H53" s="560">
        <f t="shared" ref="H53:K53" si="98">SUM(H54:H57)</f>
        <v>1087092.5200000003</v>
      </c>
      <c r="I53" s="561">
        <f t="shared" si="98"/>
        <v>1010055.9800000001</v>
      </c>
      <c r="J53" s="561">
        <f t="shared" si="98"/>
        <v>77036.539999999994</v>
      </c>
      <c r="K53" s="562">
        <f t="shared" si="98"/>
        <v>0</v>
      </c>
      <c r="L53" s="261">
        <f t="shared" ref="L53:S53" si="99">SUM(L54:L57)</f>
        <v>1209005</v>
      </c>
      <c r="M53" s="259">
        <f t="shared" si="99"/>
        <v>1190305</v>
      </c>
      <c r="N53" s="259">
        <f t="shared" si="99"/>
        <v>2700</v>
      </c>
      <c r="O53" s="356">
        <f t="shared" si="99"/>
        <v>16000</v>
      </c>
      <c r="P53" s="261">
        <f t="shared" si="99"/>
        <v>1209005</v>
      </c>
      <c r="Q53" s="259">
        <f t="shared" si="99"/>
        <v>1190305</v>
      </c>
      <c r="R53" s="259">
        <f t="shared" si="99"/>
        <v>2700</v>
      </c>
      <c r="S53" s="356">
        <f t="shared" si="99"/>
        <v>16000</v>
      </c>
      <c r="T53" s="261">
        <f t="shared" ref="T53:W53" si="100">SUM(T54:T57)</f>
        <v>339670.45000000007</v>
      </c>
      <c r="U53" s="259">
        <f t="shared" si="100"/>
        <v>334397.45000000007</v>
      </c>
      <c r="V53" s="259">
        <f t="shared" si="100"/>
        <v>2705</v>
      </c>
      <c r="W53" s="356">
        <f t="shared" si="100"/>
        <v>2568</v>
      </c>
      <c r="X53" s="261">
        <f t="shared" ref="X53:AE53" si="101">SUM(X54:X57)</f>
        <v>5</v>
      </c>
      <c r="Y53" s="259">
        <f t="shared" si="101"/>
        <v>0</v>
      </c>
      <c r="Z53" s="259">
        <f t="shared" si="101"/>
        <v>5</v>
      </c>
      <c r="AA53" s="356">
        <f t="shared" si="101"/>
        <v>0</v>
      </c>
      <c r="AB53" s="261">
        <f t="shared" si="101"/>
        <v>1209010</v>
      </c>
      <c r="AC53" s="259">
        <f t="shared" si="101"/>
        <v>1190305</v>
      </c>
      <c r="AD53" s="259">
        <f t="shared" si="101"/>
        <v>2705</v>
      </c>
      <c r="AE53" s="356">
        <f t="shared" si="101"/>
        <v>16000</v>
      </c>
    </row>
    <row r="54" spans="1:31" ht="15.75" x14ac:dyDescent="0.25">
      <c r="A54" s="125"/>
      <c r="B54" s="273">
        <v>1</v>
      </c>
      <c r="C54" s="274" t="s">
        <v>213</v>
      </c>
      <c r="D54" s="560">
        <f t="shared" ref="D54:D59" si="102">SUM(E54:G54)</f>
        <v>660092.69999999995</v>
      </c>
      <c r="E54" s="561">
        <f>'[1]5.Bezpečnosť, právo a por.'!$AF$5</f>
        <v>660092.69999999995</v>
      </c>
      <c r="F54" s="561">
        <f>'[1]5.Bezpečnosť, právo a por.'!$AG$5</f>
        <v>0</v>
      </c>
      <c r="G54" s="562">
        <f>'[1]5.Bezpečnosť, právo a por.'!$AH$5</f>
        <v>0</v>
      </c>
      <c r="H54" s="560">
        <f t="shared" ref="H54:H59" si="103">SUM(I54:K54)</f>
        <v>752728.04000000015</v>
      </c>
      <c r="I54" s="561">
        <f>'[2]5.Bezpečnosť, právo a por.'!$AI$5</f>
        <v>675691.50000000012</v>
      </c>
      <c r="J54" s="561">
        <f>'[2]5.Bezpečnosť, právo a por.'!$AJ$5</f>
        <v>77036.539999999994</v>
      </c>
      <c r="K54" s="562">
        <f>'[2]5.Bezpečnosť, právo a por.'!$AK$5</f>
        <v>0</v>
      </c>
      <c r="L54" s="261">
        <f t="shared" ref="L54:L59" si="104">SUM(M54:O54)</f>
        <v>836405</v>
      </c>
      <c r="M54" s="259">
        <f>'[3]5.Bezpečnosť, právo a por.'!$AI$5</f>
        <v>817705</v>
      </c>
      <c r="N54" s="259">
        <f>'[3]5.Bezpečnosť, právo a por.'!$AJ$5</f>
        <v>2700</v>
      </c>
      <c r="O54" s="356">
        <f>'[3]5.Bezpečnosť, právo a por.'!$AK$5</f>
        <v>16000</v>
      </c>
      <c r="P54" s="261">
        <f t="shared" ref="P54:P59" si="105">SUM(Q54:S54)</f>
        <v>836405</v>
      </c>
      <c r="Q54" s="259">
        <f>'[4]5.Bezpečnosť, právo a por.'!$AL$5</f>
        <v>817705</v>
      </c>
      <c r="R54" s="259">
        <f>'[4]5.Bezpečnosť, právo a por.'!$AM$5</f>
        <v>2700</v>
      </c>
      <c r="S54" s="259">
        <f>'[4]5.Bezpečnosť, právo a por.'!$AN$5</f>
        <v>16000</v>
      </c>
      <c r="T54" s="261">
        <f t="shared" ref="T54:T59" si="106">SUM(U54:W54)</f>
        <v>236529.85000000003</v>
      </c>
      <c r="U54" s="259">
        <f>'[4]5.Bezpečnosť, právo a por.'!$AO$5</f>
        <v>231256.85000000003</v>
      </c>
      <c r="V54" s="259">
        <f>'[4]5.Bezpečnosť, právo a por.'!$AP$5</f>
        <v>2705</v>
      </c>
      <c r="W54" s="259">
        <f>'[4]5.Bezpečnosť, právo a por.'!$AQ$5</f>
        <v>2568</v>
      </c>
      <c r="X54" s="261">
        <f t="shared" ref="X54:X59" si="107">SUM(Y54:AA54)</f>
        <v>5</v>
      </c>
      <c r="Y54" s="259">
        <f>'[4]5.Bezpečnosť, právo a por.'!$AR$5</f>
        <v>0</v>
      </c>
      <c r="Z54" s="259">
        <f>'[4]5.Bezpečnosť, právo a por.'!$AS$5</f>
        <v>5</v>
      </c>
      <c r="AA54" s="259">
        <f>'[4]5.Bezpečnosť, právo a por.'!$AT$5</f>
        <v>0</v>
      </c>
      <c r="AB54" s="261">
        <f t="shared" ref="AB54:AB59" si="108">SUM(AC54:AE54)</f>
        <v>836410</v>
      </c>
      <c r="AC54" s="259">
        <f>'[4]5.Bezpečnosť, právo a por.'!$AU$5</f>
        <v>817705</v>
      </c>
      <c r="AD54" s="259">
        <f>'[4]5.Bezpečnosť, právo a por.'!$AV$5</f>
        <v>2705</v>
      </c>
      <c r="AE54" s="260">
        <f>'[4]5.Bezpečnosť, právo a por.'!$AW$5</f>
        <v>16000</v>
      </c>
    </row>
    <row r="55" spans="1:31" ht="15.75" x14ac:dyDescent="0.25">
      <c r="B55" s="273">
        <v>2</v>
      </c>
      <c r="C55" s="274" t="s">
        <v>214</v>
      </c>
      <c r="D55" s="560">
        <f t="shared" si="102"/>
        <v>170636.23999999996</v>
      </c>
      <c r="E55" s="561">
        <f>'[1]5.Bezpečnosť, právo a por.'!$AF$60</f>
        <v>170636.23999999996</v>
      </c>
      <c r="F55" s="561">
        <f>'[1]5.Bezpečnosť, právo a por.'!$AG$60</f>
        <v>0</v>
      </c>
      <c r="G55" s="562">
        <f>'[1]5.Bezpečnosť, právo a por.'!$AH$60</f>
        <v>0</v>
      </c>
      <c r="H55" s="560">
        <f t="shared" si="103"/>
        <v>175958.87</v>
      </c>
      <c r="I55" s="561">
        <f>'[2]5.Bezpečnosť, právo a por.'!$AI$61</f>
        <v>175958.87</v>
      </c>
      <c r="J55" s="561">
        <f>'[2]5.Bezpečnosť, právo a por.'!$AJ$61</f>
        <v>0</v>
      </c>
      <c r="K55" s="562">
        <f>'[2]5.Bezpečnosť, právo a por.'!$AK$61</f>
        <v>0</v>
      </c>
      <c r="L55" s="261">
        <f t="shared" si="104"/>
        <v>201900</v>
      </c>
      <c r="M55" s="259">
        <f>'[3]5.Bezpečnosť, právo a por.'!$AI$61</f>
        <v>201900</v>
      </c>
      <c r="N55" s="259">
        <f>'[3]5.Bezpečnosť, právo a por.'!$AJ$61</f>
        <v>0</v>
      </c>
      <c r="O55" s="356">
        <f>'[3]5.Bezpečnosť, právo a por.'!$AK$61</f>
        <v>0</v>
      </c>
      <c r="P55" s="261">
        <f t="shared" si="105"/>
        <v>201900</v>
      </c>
      <c r="Q55" s="259">
        <f>'[4]5.Bezpečnosť, právo a por.'!$AL$61</f>
        <v>201900</v>
      </c>
      <c r="R55" s="259">
        <f>'[4]5.Bezpečnosť, právo a por.'!$AM$61</f>
        <v>0</v>
      </c>
      <c r="S55" s="259">
        <f>'[4]5.Bezpečnosť, právo a por.'!$AN$61</f>
        <v>0</v>
      </c>
      <c r="T55" s="261">
        <f t="shared" si="106"/>
        <v>51152.44000000001</v>
      </c>
      <c r="U55" s="259">
        <f>'[4]5.Bezpečnosť, právo a por.'!$AO$61</f>
        <v>51152.44000000001</v>
      </c>
      <c r="V55" s="259">
        <f>'[4]5.Bezpečnosť, právo a por.'!$AP$61</f>
        <v>0</v>
      </c>
      <c r="W55" s="259">
        <f>'[4]5.Bezpečnosť, právo a por.'!$AQ$61</f>
        <v>0</v>
      </c>
      <c r="X55" s="261">
        <f t="shared" si="107"/>
        <v>0</v>
      </c>
      <c r="Y55" s="259">
        <f>'[4]5.Bezpečnosť, právo a por.'!$AR$61</f>
        <v>0</v>
      </c>
      <c r="Z55" s="259">
        <f>'[4]5.Bezpečnosť, právo a por.'!$AS$61</f>
        <v>0</v>
      </c>
      <c r="AA55" s="259">
        <f>'[4]5.Bezpečnosť, právo a por.'!$AT$61</f>
        <v>0</v>
      </c>
      <c r="AB55" s="261">
        <f t="shared" si="108"/>
        <v>201900</v>
      </c>
      <c r="AC55" s="259">
        <f>'[4]5.Bezpečnosť, právo a por.'!$AU$61</f>
        <v>201900</v>
      </c>
      <c r="AD55" s="259">
        <f>'[4]5.Bezpečnosť, právo a por.'!$AV$61</f>
        <v>0</v>
      </c>
      <c r="AE55" s="260">
        <f>'[4]5.Bezpečnosť, právo a por.'!$AW$61</f>
        <v>0</v>
      </c>
    </row>
    <row r="56" spans="1:31" ht="15.75" x14ac:dyDescent="0.25">
      <c r="A56" s="124"/>
      <c r="B56" s="273">
        <v>3</v>
      </c>
      <c r="C56" s="274" t="s">
        <v>215</v>
      </c>
      <c r="D56" s="560">
        <f t="shared" si="102"/>
        <v>74013.739999999991</v>
      </c>
      <c r="E56" s="561">
        <f>'[1]5.Bezpečnosť, právo a por.'!$AF$83</f>
        <v>74013.739999999991</v>
      </c>
      <c r="F56" s="561">
        <f>'[1]5.Bezpečnosť, právo a por.'!$AG$83</f>
        <v>0</v>
      </c>
      <c r="G56" s="562">
        <f>'[1]5.Bezpečnosť, právo a por.'!$AH$83</f>
        <v>0</v>
      </c>
      <c r="H56" s="560">
        <f t="shared" si="103"/>
        <v>78209.259999999995</v>
      </c>
      <c r="I56" s="561">
        <f>'[2]5.Bezpečnosť, právo a por.'!$AI$84</f>
        <v>78209.259999999995</v>
      </c>
      <c r="J56" s="561">
        <f>'[2]5.Bezpečnosť, právo a por.'!$AJ$84</f>
        <v>0</v>
      </c>
      <c r="K56" s="562">
        <f>'[2]5.Bezpečnosť, právo a por.'!$AK$84</f>
        <v>0</v>
      </c>
      <c r="L56" s="261">
        <f t="shared" si="104"/>
        <v>84500</v>
      </c>
      <c r="M56" s="259">
        <f>'[3]5.Bezpečnosť, právo a por.'!$AI$84</f>
        <v>84500</v>
      </c>
      <c r="N56" s="259">
        <f>'[3]5.Bezpečnosť, právo a por.'!$AJ$84</f>
        <v>0</v>
      </c>
      <c r="O56" s="356">
        <f>'[3]5.Bezpečnosť, právo a por.'!$AK$84</f>
        <v>0</v>
      </c>
      <c r="P56" s="261">
        <f t="shared" si="105"/>
        <v>84500</v>
      </c>
      <c r="Q56" s="259">
        <f>'[4]5.Bezpečnosť, právo a por.'!$AL$84</f>
        <v>84500</v>
      </c>
      <c r="R56" s="259">
        <f>'[4]5.Bezpečnosť, právo a por.'!$AM$84</f>
        <v>0</v>
      </c>
      <c r="S56" s="259">
        <f>'[4]5.Bezpečnosť, právo a por.'!$AN$84</f>
        <v>0</v>
      </c>
      <c r="T56" s="261">
        <f t="shared" si="106"/>
        <v>26057.949999999997</v>
      </c>
      <c r="U56" s="259">
        <f>'[4]5.Bezpečnosť, právo a por.'!$AO$84</f>
        <v>26057.949999999997</v>
      </c>
      <c r="V56" s="259">
        <f>'[4]5.Bezpečnosť, právo a por.'!$AP$84</f>
        <v>0</v>
      </c>
      <c r="W56" s="259">
        <f>'[4]5.Bezpečnosť, právo a por.'!$AQ$84</f>
        <v>0</v>
      </c>
      <c r="X56" s="261">
        <f t="shared" si="107"/>
        <v>0</v>
      </c>
      <c r="Y56" s="259">
        <f>'[4]5.Bezpečnosť, právo a por.'!$AR$84</f>
        <v>0</v>
      </c>
      <c r="Z56" s="259">
        <f>'[4]5.Bezpečnosť, právo a por.'!$AS$84</f>
        <v>0</v>
      </c>
      <c r="AA56" s="259">
        <f>'[4]5.Bezpečnosť, právo a por.'!$AT$84</f>
        <v>0</v>
      </c>
      <c r="AB56" s="261">
        <f t="shared" si="108"/>
        <v>84500</v>
      </c>
      <c r="AC56" s="259">
        <f>'[4]5.Bezpečnosť, právo a por.'!$AU$84</f>
        <v>84500</v>
      </c>
      <c r="AD56" s="259">
        <f>'[4]5.Bezpečnosť, právo a por.'!$AV$84</f>
        <v>0</v>
      </c>
      <c r="AE56" s="260">
        <f>'[4]5.Bezpečnosť, právo a por.'!$AW$84</f>
        <v>0</v>
      </c>
    </row>
    <row r="57" spans="1:31" ht="15.75" x14ac:dyDescent="0.25">
      <c r="A57" s="124"/>
      <c r="B57" s="273">
        <v>4</v>
      </c>
      <c r="C57" s="274" t="s">
        <v>216</v>
      </c>
      <c r="D57" s="560">
        <f t="shared" si="102"/>
        <v>75966.75</v>
      </c>
      <c r="E57" s="561">
        <f>'[1]5.Bezpečnosť, právo a por.'!$AF$86</f>
        <v>75966.75</v>
      </c>
      <c r="F57" s="561">
        <f>'[1]5.Bezpečnosť, právo a por.'!$AG$86</f>
        <v>0</v>
      </c>
      <c r="G57" s="562">
        <f>'[1]5.Bezpečnosť, právo a por.'!$AH$86</f>
        <v>0</v>
      </c>
      <c r="H57" s="560">
        <f t="shared" si="103"/>
        <v>80196.350000000006</v>
      </c>
      <c r="I57" s="561">
        <f>'[2]5.Bezpečnosť, právo a por.'!$AI$87</f>
        <v>80196.350000000006</v>
      </c>
      <c r="J57" s="561">
        <f>'[2]5.Bezpečnosť, právo a por.'!$AJ$87</f>
        <v>0</v>
      </c>
      <c r="K57" s="562">
        <f>'[2]5.Bezpečnosť, právo a por.'!$AK$87</f>
        <v>0</v>
      </c>
      <c r="L57" s="261">
        <f t="shared" si="104"/>
        <v>86200</v>
      </c>
      <c r="M57" s="259">
        <f>'[3]5.Bezpečnosť, právo a por.'!$AI$87</f>
        <v>86200</v>
      </c>
      <c r="N57" s="259">
        <f>'[3]5.Bezpečnosť, právo a por.'!$AJ$87</f>
        <v>0</v>
      </c>
      <c r="O57" s="356">
        <f>'[3]5.Bezpečnosť, právo a por.'!$AK$87</f>
        <v>0</v>
      </c>
      <c r="P57" s="261">
        <f t="shared" si="105"/>
        <v>86200</v>
      </c>
      <c r="Q57" s="259">
        <f>'[4]5.Bezpečnosť, právo a por.'!$AL$87</f>
        <v>86200</v>
      </c>
      <c r="R57" s="259">
        <f>'[4]5.Bezpečnosť, právo a por.'!$AM$87</f>
        <v>0</v>
      </c>
      <c r="S57" s="259">
        <f>'[4]5.Bezpečnosť, právo a por.'!$AN$87</f>
        <v>0</v>
      </c>
      <c r="T57" s="261">
        <f t="shared" si="106"/>
        <v>25930.21</v>
      </c>
      <c r="U57" s="259">
        <f>'[4]5.Bezpečnosť, právo a por.'!$AO$87</f>
        <v>25930.21</v>
      </c>
      <c r="V57" s="259">
        <f>'[4]5.Bezpečnosť, právo a por.'!$AP$87</f>
        <v>0</v>
      </c>
      <c r="W57" s="259">
        <f>'[4]5.Bezpečnosť, právo a por.'!$AQ$87</f>
        <v>0</v>
      </c>
      <c r="X57" s="261">
        <f t="shared" si="107"/>
        <v>0</v>
      </c>
      <c r="Y57" s="259">
        <f>'[4]5.Bezpečnosť, právo a por.'!$AR$87</f>
        <v>0</v>
      </c>
      <c r="Z57" s="259">
        <f>'[4]5.Bezpečnosť, právo a por.'!$AS$87</f>
        <v>0</v>
      </c>
      <c r="AA57" s="259">
        <f>'[4]5.Bezpečnosť, právo a por.'!$AT$87</f>
        <v>0</v>
      </c>
      <c r="AB57" s="261">
        <f t="shared" si="108"/>
        <v>86200</v>
      </c>
      <c r="AC57" s="259">
        <f>'[4]5.Bezpečnosť, právo a por.'!$AU$87</f>
        <v>86200</v>
      </c>
      <c r="AD57" s="259">
        <f>'[4]5.Bezpečnosť, právo a por.'!$AV$87</f>
        <v>0</v>
      </c>
      <c r="AE57" s="260">
        <f>'[4]5.Bezpečnosť, právo a por.'!$AW$87</f>
        <v>0</v>
      </c>
    </row>
    <row r="58" spans="1:31" ht="15.75" x14ac:dyDescent="0.25">
      <c r="B58" s="285" t="s">
        <v>217</v>
      </c>
      <c r="C58" s="274" t="s">
        <v>218</v>
      </c>
      <c r="D58" s="560">
        <f t="shared" si="102"/>
        <v>0</v>
      </c>
      <c r="E58" s="561">
        <f>'[1]5.Bezpečnosť, právo a por.'!$AF$94</f>
        <v>0</v>
      </c>
      <c r="F58" s="561">
        <f>'[1]5.Bezpečnosť, právo a por.'!$AG$94</f>
        <v>0</v>
      </c>
      <c r="G58" s="562">
        <f>'[1]5.Bezpečnosť, právo a por.'!$AH$94</f>
        <v>0</v>
      </c>
      <c r="H58" s="560">
        <f t="shared" si="103"/>
        <v>0</v>
      </c>
      <c r="I58" s="561">
        <f>'[2]5.Bezpečnosť, právo a por.'!$AI$95</f>
        <v>0</v>
      </c>
      <c r="J58" s="561">
        <f>'[2]5.Bezpečnosť, právo a por.'!$AJ$95</f>
        <v>0</v>
      </c>
      <c r="K58" s="562">
        <f>'[2]5.Bezpečnosť, právo a por.'!$AK$95</f>
        <v>0</v>
      </c>
      <c r="L58" s="261">
        <f t="shared" si="104"/>
        <v>0</v>
      </c>
      <c r="M58" s="259">
        <f>'[3]5.Bezpečnosť, právo a por.'!$AI$95</f>
        <v>0</v>
      </c>
      <c r="N58" s="259">
        <f>'[3]5.Bezpečnosť, právo a por.'!$AJ$95</f>
        <v>0</v>
      </c>
      <c r="O58" s="356">
        <f>'[3]5.Bezpečnosť, právo a por.'!$AK$95</f>
        <v>0</v>
      </c>
      <c r="P58" s="261">
        <f t="shared" si="105"/>
        <v>0</v>
      </c>
      <c r="Q58" s="259">
        <f>'[4]5.Bezpečnosť, právo a por.'!$AL$95</f>
        <v>0</v>
      </c>
      <c r="R58" s="259">
        <f>'[4]5.Bezpečnosť, právo a por.'!$AM$95</f>
        <v>0</v>
      </c>
      <c r="S58" s="259">
        <f>'[4]5.Bezpečnosť, právo a por.'!$AN$95</f>
        <v>0</v>
      </c>
      <c r="T58" s="261">
        <f t="shared" si="106"/>
        <v>0</v>
      </c>
      <c r="U58" s="259">
        <f>'[4]5.Bezpečnosť, právo a por.'!$AO$95</f>
        <v>0</v>
      </c>
      <c r="V58" s="259">
        <f>'[4]5.Bezpečnosť, právo a por.'!$AP$95</f>
        <v>0</v>
      </c>
      <c r="W58" s="259">
        <f>'[4]5.Bezpečnosť, právo a por.'!$AQ$95</f>
        <v>0</v>
      </c>
      <c r="X58" s="261">
        <f t="shared" si="107"/>
        <v>0</v>
      </c>
      <c r="Y58" s="259">
        <f>'[4]5.Bezpečnosť, právo a por.'!$AR$95</f>
        <v>0</v>
      </c>
      <c r="Z58" s="259">
        <f>'[4]5.Bezpečnosť, právo a por.'!$AS$95</f>
        <v>0</v>
      </c>
      <c r="AA58" s="259">
        <f>'[4]5.Bezpečnosť, právo a por.'!$AT$95</f>
        <v>0</v>
      </c>
      <c r="AB58" s="261">
        <f t="shared" si="108"/>
        <v>0</v>
      </c>
      <c r="AC58" s="259">
        <f>'[4]5.Bezpečnosť, právo a por.'!$AU$95</f>
        <v>0</v>
      </c>
      <c r="AD58" s="259">
        <f>'[4]5.Bezpečnosť, právo a por.'!$AV$95</f>
        <v>0</v>
      </c>
      <c r="AE58" s="260">
        <f>'[4]5.Bezpečnosť, právo a por.'!$AW$95</f>
        <v>0</v>
      </c>
    </row>
    <row r="59" spans="1:31" ht="15.75" x14ac:dyDescent="0.25">
      <c r="B59" s="285" t="s">
        <v>219</v>
      </c>
      <c r="C59" s="274" t="s">
        <v>220</v>
      </c>
      <c r="D59" s="560">
        <f t="shared" si="102"/>
        <v>4049.1500000000005</v>
      </c>
      <c r="E59" s="561">
        <f>'[1]5.Bezpečnosť, právo a por.'!$AF$96</f>
        <v>4049.1500000000005</v>
      </c>
      <c r="F59" s="561">
        <f>'[1]5.Bezpečnosť, právo a por.'!$AG$96</f>
        <v>0</v>
      </c>
      <c r="G59" s="562">
        <f>'[1]5.Bezpečnosť, právo a por.'!$AH$96</f>
        <v>0</v>
      </c>
      <c r="H59" s="560">
        <f t="shared" si="103"/>
        <v>5961.4100000000008</v>
      </c>
      <c r="I59" s="561">
        <f>'[2]5.Bezpečnosť, právo a por.'!$AI$97</f>
        <v>5961.4100000000008</v>
      </c>
      <c r="J59" s="561">
        <f>'[2]5.Bezpečnosť, právo a por.'!$AJ$97</f>
        <v>0</v>
      </c>
      <c r="K59" s="562">
        <f>'[2]5.Bezpečnosť, právo a por.'!$AK$97</f>
        <v>0</v>
      </c>
      <c r="L59" s="261">
        <f t="shared" si="104"/>
        <v>7400</v>
      </c>
      <c r="M59" s="259">
        <f>'[3]5.Bezpečnosť, právo a por.'!$AI$97</f>
        <v>7400</v>
      </c>
      <c r="N59" s="259">
        <f>'[3]5.Bezpečnosť, právo a por.'!$AJ$97</f>
        <v>0</v>
      </c>
      <c r="O59" s="356">
        <f>'[3]5.Bezpečnosť, právo a por.'!$AK$97</f>
        <v>0</v>
      </c>
      <c r="P59" s="261">
        <f t="shared" si="105"/>
        <v>7400</v>
      </c>
      <c r="Q59" s="259">
        <f>'[4]5.Bezpečnosť, právo a por.'!$AL$97</f>
        <v>7400</v>
      </c>
      <c r="R59" s="259">
        <f>'[4]5.Bezpečnosť, právo a por.'!$AM$97</f>
        <v>0</v>
      </c>
      <c r="S59" s="259">
        <f>'[4]5.Bezpečnosť, právo a por.'!$AN$97</f>
        <v>0</v>
      </c>
      <c r="T59" s="261">
        <f t="shared" si="106"/>
        <v>900.13</v>
      </c>
      <c r="U59" s="259">
        <f>'[4]5.Bezpečnosť, právo a por.'!$AO$97</f>
        <v>900.13</v>
      </c>
      <c r="V59" s="259">
        <f>'[4]5.Bezpečnosť, právo a por.'!$AP$97</f>
        <v>0</v>
      </c>
      <c r="W59" s="259">
        <f>'[4]5.Bezpečnosť, právo a por.'!$AQ$97</f>
        <v>0</v>
      </c>
      <c r="X59" s="261">
        <f t="shared" si="107"/>
        <v>2600</v>
      </c>
      <c r="Y59" s="259">
        <f>'[4]5.Bezpečnosť, právo a por.'!$AR$97</f>
        <v>2600</v>
      </c>
      <c r="Z59" s="259">
        <f>'[4]5.Bezpečnosť, právo a por.'!$AS$97</f>
        <v>0</v>
      </c>
      <c r="AA59" s="259">
        <f>'[4]5.Bezpečnosť, právo a por.'!$AT$97</f>
        <v>0</v>
      </c>
      <c r="AB59" s="261">
        <f t="shared" si="108"/>
        <v>10000</v>
      </c>
      <c r="AC59" s="259">
        <f>'[4]5.Bezpečnosť, právo a por.'!$AU$97</f>
        <v>10000</v>
      </c>
      <c r="AD59" s="259">
        <f>'[4]5.Bezpečnosť, právo a por.'!$AV$97</f>
        <v>0</v>
      </c>
      <c r="AE59" s="260">
        <f>'[4]5.Bezpečnosť, právo a por.'!$AW$97</f>
        <v>0</v>
      </c>
    </row>
    <row r="60" spans="1:31" ht="15.75" x14ac:dyDescent="0.25">
      <c r="B60" s="285" t="s">
        <v>221</v>
      </c>
      <c r="C60" s="274" t="s">
        <v>222</v>
      </c>
      <c r="D60" s="560">
        <f t="shared" ref="D60:G60" si="109">SUM(D61:D64)</f>
        <v>348352.86</v>
      </c>
      <c r="E60" s="561">
        <f t="shared" si="109"/>
        <v>233352.86</v>
      </c>
      <c r="F60" s="561">
        <f t="shared" si="109"/>
        <v>115000</v>
      </c>
      <c r="G60" s="562">
        <f t="shared" si="109"/>
        <v>0</v>
      </c>
      <c r="H60" s="560">
        <f t="shared" ref="H60:K60" si="110">SUM(H61:H64)</f>
        <v>352845.55</v>
      </c>
      <c r="I60" s="561">
        <f t="shared" si="110"/>
        <v>237845.55</v>
      </c>
      <c r="J60" s="561">
        <f t="shared" si="110"/>
        <v>115000</v>
      </c>
      <c r="K60" s="562">
        <f t="shared" si="110"/>
        <v>0</v>
      </c>
      <c r="L60" s="261">
        <f t="shared" ref="L60:Q60" si="111">SUM(L61:L64)</f>
        <v>355000</v>
      </c>
      <c r="M60" s="259">
        <f t="shared" si="111"/>
        <v>240000</v>
      </c>
      <c r="N60" s="259">
        <f t="shared" si="111"/>
        <v>115000</v>
      </c>
      <c r="O60" s="356">
        <f t="shared" si="111"/>
        <v>0</v>
      </c>
      <c r="P60" s="261">
        <f t="shared" si="111"/>
        <v>355000</v>
      </c>
      <c r="Q60" s="259">
        <f t="shared" si="111"/>
        <v>240000</v>
      </c>
      <c r="R60" s="259">
        <f>SUM(R61:R64)</f>
        <v>115000</v>
      </c>
      <c r="S60" s="356">
        <f t="shared" ref="S60" si="112">SUM(S61:S64)</f>
        <v>0</v>
      </c>
      <c r="T60" s="261">
        <f t="shared" ref="T60:W60" si="113">SUM(T61:T64)</f>
        <v>95974.68</v>
      </c>
      <c r="U60" s="259">
        <f t="shared" si="113"/>
        <v>95974.68</v>
      </c>
      <c r="V60" s="259">
        <f>SUM(V61:V64)</f>
        <v>0</v>
      </c>
      <c r="W60" s="356">
        <f t="shared" si="113"/>
        <v>0</v>
      </c>
      <c r="X60" s="261">
        <f t="shared" ref="X60:Y60" si="114">SUM(X61:X64)</f>
        <v>-7000</v>
      </c>
      <c r="Y60" s="259">
        <f t="shared" si="114"/>
        <v>-7000</v>
      </c>
      <c r="Z60" s="259">
        <f>SUM(Z61:Z64)</f>
        <v>0</v>
      </c>
      <c r="AA60" s="356">
        <f t="shared" ref="AA60:AC60" si="115">SUM(AA61:AA64)</f>
        <v>0</v>
      </c>
      <c r="AB60" s="261">
        <f t="shared" si="115"/>
        <v>348000</v>
      </c>
      <c r="AC60" s="259">
        <f t="shared" si="115"/>
        <v>233000</v>
      </c>
      <c r="AD60" s="259">
        <f>SUM(AD61:AD64)</f>
        <v>115000</v>
      </c>
      <c r="AE60" s="356">
        <f t="shared" ref="AE60" si="116">SUM(AE61:AE64)</f>
        <v>0</v>
      </c>
    </row>
    <row r="61" spans="1:31" ht="15.75" x14ac:dyDescent="0.25">
      <c r="B61" s="273">
        <v>1</v>
      </c>
      <c r="C61" s="274" t="s">
        <v>223</v>
      </c>
      <c r="D61" s="560">
        <f>SUM(E61:G61)</f>
        <v>115000</v>
      </c>
      <c r="E61" s="561">
        <f>'[1]5.Bezpečnosť, právo a por.'!$AF$114</f>
        <v>0</v>
      </c>
      <c r="F61" s="561">
        <f>'[1]5.Bezpečnosť, právo a por.'!$AG$114</f>
        <v>115000</v>
      </c>
      <c r="G61" s="562">
        <f>'[1]5.Bezpečnosť, právo a por.'!$AH$114</f>
        <v>0</v>
      </c>
      <c r="H61" s="560">
        <f>SUM(I61:K61)</f>
        <v>115000</v>
      </c>
      <c r="I61" s="561">
        <f>'[2]5.Bezpečnosť, právo a por.'!$AI$115</f>
        <v>0</v>
      </c>
      <c r="J61" s="561">
        <f>'[2]5.Bezpečnosť, právo a por.'!$AJ$115</f>
        <v>115000</v>
      </c>
      <c r="K61" s="562">
        <f>'[2]5.Bezpečnosť, právo a por.'!$AK$115</f>
        <v>0</v>
      </c>
      <c r="L61" s="261">
        <f>SUM(M61:O61)</f>
        <v>115000</v>
      </c>
      <c r="M61" s="259">
        <f>'[3]5.Bezpečnosť, právo a por.'!$AI$115</f>
        <v>0</v>
      </c>
      <c r="N61" s="259">
        <f>'[3]5.Bezpečnosť, právo a por.'!$AJ$115</f>
        <v>115000</v>
      </c>
      <c r="O61" s="356">
        <f>'[3]5.Bezpečnosť, právo a por.'!$AK$115</f>
        <v>0</v>
      </c>
      <c r="P61" s="261">
        <f>SUM(Q61:S61)</f>
        <v>115000</v>
      </c>
      <c r="Q61" s="259">
        <f>'[4]5.Bezpečnosť, právo a por.'!$AL$115</f>
        <v>0</v>
      </c>
      <c r="R61" s="259">
        <f>'[4]5.Bezpečnosť, právo a por.'!$AM$115</f>
        <v>115000</v>
      </c>
      <c r="S61" s="259">
        <f>'[4]5.Bezpečnosť, právo a por.'!$AN$115</f>
        <v>0</v>
      </c>
      <c r="T61" s="261">
        <f>SUM(U61:W61)</f>
        <v>0</v>
      </c>
      <c r="U61" s="259">
        <f>'[4]5.Bezpečnosť, právo a por.'!$AO$115</f>
        <v>0</v>
      </c>
      <c r="V61" s="259">
        <f>'[4]5.Bezpečnosť, právo a por.'!$AP$115</f>
        <v>0</v>
      </c>
      <c r="W61" s="259">
        <f>'[4]5.Bezpečnosť, právo a por.'!$AQ$115</f>
        <v>0</v>
      </c>
      <c r="X61" s="261">
        <f>SUM(Y61:AA61)</f>
        <v>0</v>
      </c>
      <c r="Y61" s="259">
        <f>'[4]5.Bezpečnosť, právo a por.'!$AR$115</f>
        <v>0</v>
      </c>
      <c r="Z61" s="259">
        <f>'[4]5.Bezpečnosť, právo a por.'!$AS$115</f>
        <v>0</v>
      </c>
      <c r="AA61" s="259">
        <f>'[4]5.Bezpečnosť, právo a por.'!$AT$115</f>
        <v>0</v>
      </c>
      <c r="AB61" s="261">
        <f>SUM(AC61:AE61)</f>
        <v>115000</v>
      </c>
      <c r="AC61" s="259">
        <f>'[4]5.Bezpečnosť, právo a por.'!$AU$115</f>
        <v>0</v>
      </c>
      <c r="AD61" s="259">
        <f>'[4]5.Bezpečnosť, právo a por.'!$AV$115</f>
        <v>115000</v>
      </c>
      <c r="AE61" s="260">
        <f>'[4]5.Bezpečnosť, právo a por.'!$AW$115</f>
        <v>0</v>
      </c>
    </row>
    <row r="62" spans="1:31" ht="15.75" x14ac:dyDescent="0.25">
      <c r="B62" s="273">
        <v>2</v>
      </c>
      <c r="C62" s="274" t="s">
        <v>224</v>
      </c>
      <c r="D62" s="560">
        <f>SUM(E62:G62)</f>
        <v>125766.99</v>
      </c>
      <c r="E62" s="561">
        <f>'[1]5.Bezpečnosť, právo a por.'!$AF$121</f>
        <v>125766.99</v>
      </c>
      <c r="F62" s="561">
        <f>'[1]5.Bezpečnosť, právo a por.'!$AG$121</f>
        <v>0</v>
      </c>
      <c r="G62" s="562">
        <f>'[1]5.Bezpečnosť, právo a por.'!$AH$121</f>
        <v>0</v>
      </c>
      <c r="H62" s="560">
        <f>SUM(I62:K62)</f>
        <v>94492.67</v>
      </c>
      <c r="I62" s="561">
        <f>'[2]5.Bezpečnosť, právo a por.'!$AI$122</f>
        <v>94492.67</v>
      </c>
      <c r="J62" s="561">
        <f>'[2]5.Bezpečnosť, právo a por.'!$AJ$122</f>
        <v>0</v>
      </c>
      <c r="K62" s="562">
        <f>'[2]5.Bezpečnosť, právo a por.'!$AK$122</f>
        <v>0</v>
      </c>
      <c r="L62" s="261">
        <f>SUM(M62:O62)</f>
        <v>100000</v>
      </c>
      <c r="M62" s="259">
        <f>'[3]5.Bezpečnosť, právo a por.'!$AI$122</f>
        <v>100000</v>
      </c>
      <c r="N62" s="259">
        <f>'[3]5.Bezpečnosť, právo a por.'!$AJ$122</f>
        <v>0</v>
      </c>
      <c r="O62" s="356">
        <f>'[3]5.Bezpečnosť, právo a por.'!$AK$122</f>
        <v>0</v>
      </c>
      <c r="P62" s="261">
        <f>SUM(Q62:S62)</f>
        <v>100000</v>
      </c>
      <c r="Q62" s="259">
        <f>'[4]5.Bezpečnosť, právo a por.'!$AL$122</f>
        <v>100000</v>
      </c>
      <c r="R62" s="259">
        <f>'[4]5.Bezpečnosť, právo a por.'!$AM$122</f>
        <v>0</v>
      </c>
      <c r="S62" s="259">
        <f>'[4]5.Bezpečnosť, právo a por.'!$AN$122</f>
        <v>0</v>
      </c>
      <c r="T62" s="261">
        <f>SUM(U62:W62)</f>
        <v>46012.04</v>
      </c>
      <c r="U62" s="259">
        <f>'[4]5.Bezpečnosť, právo a por.'!$AO$122</f>
        <v>46012.04</v>
      </c>
      <c r="V62" s="259">
        <f>'[4]5.Bezpečnosť, právo a por.'!$AP$122</f>
        <v>0</v>
      </c>
      <c r="W62" s="259">
        <f>'[4]5.Bezpečnosť, právo a por.'!$AQ$122</f>
        <v>0</v>
      </c>
      <c r="X62" s="261">
        <f>SUM(Y62:AA62)</f>
        <v>0</v>
      </c>
      <c r="Y62" s="259">
        <f>'[4]5.Bezpečnosť, právo a por.'!$AR$122</f>
        <v>0</v>
      </c>
      <c r="Z62" s="259">
        <f>'[4]5.Bezpečnosť, právo a por.'!$AS$122</f>
        <v>0</v>
      </c>
      <c r="AA62" s="259">
        <f>'[4]5.Bezpečnosť, právo a por.'!$AT$122</f>
        <v>0</v>
      </c>
      <c r="AB62" s="261">
        <f>SUM(AC62:AE62)</f>
        <v>100000</v>
      </c>
      <c r="AC62" s="259">
        <f>'[4]5.Bezpečnosť, právo a por.'!$AU$122</f>
        <v>100000</v>
      </c>
      <c r="AD62" s="259">
        <f>'[4]5.Bezpečnosť, právo a por.'!$AV$122</f>
        <v>0</v>
      </c>
      <c r="AE62" s="260">
        <f>'[4]5.Bezpečnosť, právo a por.'!$AW$122</f>
        <v>0</v>
      </c>
    </row>
    <row r="63" spans="1:31" ht="15.75" x14ac:dyDescent="0.25">
      <c r="B63" s="273">
        <v>3</v>
      </c>
      <c r="C63" s="274" t="s">
        <v>225</v>
      </c>
      <c r="D63" s="560">
        <f>SUM(E63:G63)</f>
        <v>107585.87</v>
      </c>
      <c r="E63" s="561">
        <f>'[1]5.Bezpečnosť, právo a por.'!$AF$124</f>
        <v>107585.87</v>
      </c>
      <c r="F63" s="561">
        <f>'[1]5.Bezpečnosť, právo a por.'!$AG$124</f>
        <v>0</v>
      </c>
      <c r="G63" s="562">
        <f>'[1]5.Bezpečnosť, právo a por.'!$AH$124</f>
        <v>0</v>
      </c>
      <c r="H63" s="560">
        <f>SUM(I63:K63)</f>
        <v>143352.88</v>
      </c>
      <c r="I63" s="561">
        <f>'[2]5.Bezpečnosť, právo a por.'!$AI$125</f>
        <v>143352.88</v>
      </c>
      <c r="J63" s="561">
        <f>'[2]5.Bezpečnosť, právo a por.'!$AJ$125</f>
        <v>0</v>
      </c>
      <c r="K63" s="562">
        <f>'[2]5.Bezpečnosť, právo a por.'!$AK$125</f>
        <v>0</v>
      </c>
      <c r="L63" s="261">
        <f>SUM(M63:O63)</f>
        <v>140000</v>
      </c>
      <c r="M63" s="259">
        <f>'[3]5.Bezpečnosť, právo a por.'!$AI$125</f>
        <v>140000</v>
      </c>
      <c r="N63" s="259">
        <f>'[3]5.Bezpečnosť, právo a por.'!$AJ$125</f>
        <v>0</v>
      </c>
      <c r="O63" s="356">
        <f>'[3]5.Bezpečnosť, právo a por.'!$AK$125</f>
        <v>0</v>
      </c>
      <c r="P63" s="261">
        <f>SUM(Q63:S63)</f>
        <v>140000</v>
      </c>
      <c r="Q63" s="259">
        <f>'[4]5.Bezpečnosť, právo a por.'!$AL$125</f>
        <v>140000</v>
      </c>
      <c r="R63" s="259">
        <f>'[4]5.Bezpečnosť, právo a por.'!$AM$125</f>
        <v>0</v>
      </c>
      <c r="S63" s="259">
        <f>'[4]5.Bezpečnosť, právo a por.'!$AN$125</f>
        <v>0</v>
      </c>
      <c r="T63" s="261">
        <f>SUM(U63:W63)</f>
        <v>49962.64</v>
      </c>
      <c r="U63" s="259">
        <f>'[4]5.Bezpečnosť, právo a por.'!$AO$125</f>
        <v>49962.64</v>
      </c>
      <c r="V63" s="259">
        <f>'[4]5.Bezpečnosť, právo a por.'!$AP$125</f>
        <v>0</v>
      </c>
      <c r="W63" s="259">
        <f>'[4]5.Bezpečnosť, právo a por.'!$AQ$125</f>
        <v>0</v>
      </c>
      <c r="X63" s="261">
        <f>SUM(Y63:AA63)</f>
        <v>-7000</v>
      </c>
      <c r="Y63" s="259">
        <f>'[4]5.Bezpečnosť, právo a por.'!$AR$125</f>
        <v>-7000</v>
      </c>
      <c r="Z63" s="259">
        <f>'[4]5.Bezpečnosť, právo a por.'!$AS$125</f>
        <v>0</v>
      </c>
      <c r="AA63" s="259">
        <f>'[4]5.Bezpečnosť, právo a por.'!$AT$125</f>
        <v>0</v>
      </c>
      <c r="AB63" s="261">
        <f>SUM(AC63:AE63)</f>
        <v>133000</v>
      </c>
      <c r="AC63" s="259">
        <f>'[4]5.Bezpečnosť, právo a por.'!$AU$125</f>
        <v>133000</v>
      </c>
      <c r="AD63" s="259">
        <f>'[4]5.Bezpečnosť, právo a por.'!$AV$125</f>
        <v>0</v>
      </c>
      <c r="AE63" s="260">
        <f>'[4]5.Bezpečnosť, právo a por.'!$AW$125</f>
        <v>0</v>
      </c>
    </row>
    <row r="64" spans="1:31" ht="15.75" x14ac:dyDescent="0.25">
      <c r="B64" s="273">
        <v>4</v>
      </c>
      <c r="C64" s="274" t="s">
        <v>226</v>
      </c>
      <c r="D64" s="560">
        <f>SUM(E64:G64)</f>
        <v>0</v>
      </c>
      <c r="E64" s="561">
        <f>'[1]5.Bezpečnosť, právo a por.'!$AF$127</f>
        <v>0</v>
      </c>
      <c r="F64" s="561">
        <f>'[1]5.Bezpečnosť, právo a por.'!$AG$127</f>
        <v>0</v>
      </c>
      <c r="G64" s="562">
        <f>'[1]5.Bezpečnosť, právo a por.'!$AH$127</f>
        <v>0</v>
      </c>
      <c r="H64" s="560">
        <f>SUM(I64:K64)</f>
        <v>0</v>
      </c>
      <c r="I64" s="561">
        <f>'[2]5.Bezpečnosť, právo a por.'!$AI$128</f>
        <v>0</v>
      </c>
      <c r="J64" s="561">
        <f>'[2]5.Bezpečnosť, právo a por.'!$AJ$128</f>
        <v>0</v>
      </c>
      <c r="K64" s="562">
        <f>'[2]5.Bezpečnosť, právo a por.'!$AK$128</f>
        <v>0</v>
      </c>
      <c r="L64" s="261">
        <f>SUM(M64:O64)</f>
        <v>0</v>
      </c>
      <c r="M64" s="259">
        <f>'[3]5.Bezpečnosť, právo a por.'!$AI$128</f>
        <v>0</v>
      </c>
      <c r="N64" s="259">
        <f>'[3]5.Bezpečnosť, právo a por.'!$AJ$128</f>
        <v>0</v>
      </c>
      <c r="O64" s="356">
        <f>'[3]5.Bezpečnosť, právo a por.'!$AK$128</f>
        <v>0</v>
      </c>
      <c r="P64" s="261">
        <f>SUM(Q64:S64)</f>
        <v>0</v>
      </c>
      <c r="Q64" s="259">
        <f>'[4]5.Bezpečnosť, právo a por.'!$AL$128</f>
        <v>0</v>
      </c>
      <c r="R64" s="259">
        <f>'[4]5.Bezpečnosť, právo a por.'!$AM$128</f>
        <v>0</v>
      </c>
      <c r="S64" s="259">
        <f>'[4]5.Bezpečnosť, právo a por.'!$AN$128</f>
        <v>0</v>
      </c>
      <c r="T64" s="261">
        <f>SUM(U64:W64)</f>
        <v>0</v>
      </c>
      <c r="U64" s="259">
        <f>'[4]5.Bezpečnosť, právo a por.'!$AO$128</f>
        <v>0</v>
      </c>
      <c r="V64" s="259">
        <f>'[4]5.Bezpečnosť, právo a por.'!$AP$128</f>
        <v>0</v>
      </c>
      <c r="W64" s="259">
        <f>'[4]5.Bezpečnosť, právo a por.'!$AQ$128</f>
        <v>0</v>
      </c>
      <c r="X64" s="261">
        <f>SUM(Y64:AA64)</f>
        <v>0</v>
      </c>
      <c r="Y64" s="259">
        <f>'[4]5.Bezpečnosť, právo a por.'!$AR$128</f>
        <v>0</v>
      </c>
      <c r="Z64" s="259">
        <f>'[4]5.Bezpečnosť, právo a por.'!$AS$128</f>
        <v>0</v>
      </c>
      <c r="AA64" s="259">
        <f>'[4]5.Bezpečnosť, právo a por.'!$AT$128</f>
        <v>0</v>
      </c>
      <c r="AB64" s="261">
        <f>SUM(AC64:AE64)</f>
        <v>0</v>
      </c>
      <c r="AC64" s="259">
        <f>'[4]5.Bezpečnosť, právo a por.'!$AU$128</f>
        <v>0</v>
      </c>
      <c r="AD64" s="259">
        <f>'[4]5.Bezpečnosť, právo a por.'!$AV$128</f>
        <v>0</v>
      </c>
      <c r="AE64" s="260">
        <f>'[4]5.Bezpečnosť, právo a por.'!$AW$128</f>
        <v>0</v>
      </c>
    </row>
    <row r="65" spans="1:31" ht="15.75" x14ac:dyDescent="0.25">
      <c r="A65" s="125"/>
      <c r="B65" s="285" t="s">
        <v>227</v>
      </c>
      <c r="C65" s="286" t="s">
        <v>228</v>
      </c>
      <c r="D65" s="560">
        <f t="shared" ref="D65:G65" si="117">SUM(D66:D67)</f>
        <v>8003</v>
      </c>
      <c r="E65" s="561">
        <f t="shared" si="117"/>
        <v>8003</v>
      </c>
      <c r="F65" s="561">
        <f t="shared" si="117"/>
        <v>0</v>
      </c>
      <c r="G65" s="562">
        <f t="shared" si="117"/>
        <v>0</v>
      </c>
      <c r="H65" s="560">
        <f t="shared" ref="H65:K65" si="118">SUM(H66:H67)</f>
        <v>7349</v>
      </c>
      <c r="I65" s="561">
        <f t="shared" si="118"/>
        <v>7349</v>
      </c>
      <c r="J65" s="561">
        <f t="shared" si="118"/>
        <v>0</v>
      </c>
      <c r="K65" s="562">
        <f t="shared" si="118"/>
        <v>0</v>
      </c>
      <c r="L65" s="261">
        <f t="shared" ref="L65:S65" si="119">SUM(L66:L67)</f>
        <v>9300</v>
      </c>
      <c r="M65" s="259">
        <f t="shared" si="119"/>
        <v>9300</v>
      </c>
      <c r="N65" s="259">
        <f t="shared" si="119"/>
        <v>0</v>
      </c>
      <c r="O65" s="356">
        <f t="shared" si="119"/>
        <v>0</v>
      </c>
      <c r="P65" s="261">
        <f t="shared" si="119"/>
        <v>9300</v>
      </c>
      <c r="Q65" s="259">
        <f t="shared" si="119"/>
        <v>9300</v>
      </c>
      <c r="R65" s="259">
        <f t="shared" si="119"/>
        <v>0</v>
      </c>
      <c r="S65" s="356">
        <f t="shared" si="119"/>
        <v>0</v>
      </c>
      <c r="T65" s="261">
        <f t="shared" ref="T65:W65" si="120">SUM(T66:T67)</f>
        <v>1100</v>
      </c>
      <c r="U65" s="259">
        <f t="shared" si="120"/>
        <v>1100</v>
      </c>
      <c r="V65" s="259">
        <f t="shared" si="120"/>
        <v>0</v>
      </c>
      <c r="W65" s="356">
        <f t="shared" si="120"/>
        <v>0</v>
      </c>
      <c r="X65" s="261">
        <f t="shared" ref="X65:AE65" si="121">SUM(X66:X67)</f>
        <v>0</v>
      </c>
      <c r="Y65" s="259">
        <f t="shared" si="121"/>
        <v>0</v>
      </c>
      <c r="Z65" s="259">
        <f t="shared" si="121"/>
        <v>0</v>
      </c>
      <c r="AA65" s="356">
        <f t="shared" si="121"/>
        <v>0</v>
      </c>
      <c r="AB65" s="261">
        <f t="shared" si="121"/>
        <v>9300</v>
      </c>
      <c r="AC65" s="259">
        <f t="shared" si="121"/>
        <v>9300</v>
      </c>
      <c r="AD65" s="259">
        <f t="shared" si="121"/>
        <v>0</v>
      </c>
      <c r="AE65" s="356">
        <f t="shared" si="121"/>
        <v>0</v>
      </c>
    </row>
    <row r="66" spans="1:31" ht="15.75" x14ac:dyDescent="0.25">
      <c r="A66" s="125"/>
      <c r="B66" s="273">
        <v>1</v>
      </c>
      <c r="C66" s="274" t="s">
        <v>229</v>
      </c>
      <c r="D66" s="560">
        <f>SUM(E66:G66)</f>
        <v>5003</v>
      </c>
      <c r="E66" s="561">
        <f>'[1]5.Bezpečnosť, právo a por.'!$AF$131</f>
        <v>5003</v>
      </c>
      <c r="F66" s="561">
        <f>'[1]5.Bezpečnosť, právo a por.'!$AG$131</f>
        <v>0</v>
      </c>
      <c r="G66" s="562">
        <f>'[1]5.Bezpečnosť, právo a por.'!$AH$131</f>
        <v>0</v>
      </c>
      <c r="H66" s="560">
        <f>SUM(I66:K66)</f>
        <v>4349</v>
      </c>
      <c r="I66" s="561">
        <f>'[2]5.Bezpečnosť, právo a por.'!$AI$132</f>
        <v>4349</v>
      </c>
      <c r="J66" s="561">
        <f>'[2]5.Bezpečnosť, právo a por.'!$AJ$132</f>
        <v>0</v>
      </c>
      <c r="K66" s="562">
        <f>'[2]5.Bezpečnosť, právo a por.'!$AK$132</f>
        <v>0</v>
      </c>
      <c r="L66" s="261">
        <f>SUM(M66:O66)</f>
        <v>6300</v>
      </c>
      <c r="M66" s="259">
        <f>'[3]5.Bezpečnosť, právo a por.'!$AI$132</f>
        <v>6300</v>
      </c>
      <c r="N66" s="259">
        <f>'[3]5.Bezpečnosť, právo a por.'!$AJ$132</f>
        <v>0</v>
      </c>
      <c r="O66" s="356">
        <f>'[3]5.Bezpečnosť, právo a por.'!$AK$132</f>
        <v>0</v>
      </c>
      <c r="P66" s="261">
        <f>SUM(Q66:S66)</f>
        <v>6300</v>
      </c>
      <c r="Q66" s="259">
        <f>'[4]5.Bezpečnosť, právo a por.'!$AL$132</f>
        <v>6300</v>
      </c>
      <c r="R66" s="259">
        <f>'[4]5.Bezpečnosť, právo a por.'!$AM$132</f>
        <v>0</v>
      </c>
      <c r="S66" s="259">
        <f>'[4]5.Bezpečnosť, právo a por.'!$AN$132</f>
        <v>0</v>
      </c>
      <c r="T66" s="261">
        <f>SUM(U66:W66)</f>
        <v>1100</v>
      </c>
      <c r="U66" s="259">
        <f>'[4]5.Bezpečnosť, právo a por.'!$AO$132</f>
        <v>1100</v>
      </c>
      <c r="V66" s="259">
        <f>'[4]5.Bezpečnosť, právo a por.'!$AP$132</f>
        <v>0</v>
      </c>
      <c r="W66" s="259">
        <f>'[4]5.Bezpečnosť, právo a por.'!$AQ$132</f>
        <v>0</v>
      </c>
      <c r="X66" s="261">
        <f>SUM(Y66:AA66)</f>
        <v>0</v>
      </c>
      <c r="Y66" s="259">
        <f>'[4]5.Bezpečnosť, právo a por.'!$AR$132</f>
        <v>0</v>
      </c>
      <c r="Z66" s="259">
        <f>'[4]5.Bezpečnosť, právo a por.'!$AS$132</f>
        <v>0</v>
      </c>
      <c r="AA66" s="259">
        <f>'[4]5.Bezpečnosť, právo a por.'!$AT$132</f>
        <v>0</v>
      </c>
      <c r="AB66" s="261">
        <f>SUM(AC66:AE66)</f>
        <v>6300</v>
      </c>
      <c r="AC66" s="259">
        <f>'[4]5.Bezpečnosť, právo a por.'!$AU$132</f>
        <v>6300</v>
      </c>
      <c r="AD66" s="259">
        <f>'[4]5.Bezpečnosť, právo a por.'!$AV$132</f>
        <v>0</v>
      </c>
      <c r="AE66" s="260">
        <f>'[4]5.Bezpečnosť, právo a por.'!$AW$132</f>
        <v>0</v>
      </c>
    </row>
    <row r="67" spans="1:31" ht="16.5" thickBot="1" x14ac:dyDescent="0.3">
      <c r="A67" s="125"/>
      <c r="B67" s="275">
        <v>2</v>
      </c>
      <c r="C67" s="362" t="s">
        <v>421</v>
      </c>
      <c r="D67" s="563">
        <f>SUM(E67:G67)</f>
        <v>3000</v>
      </c>
      <c r="E67" s="564">
        <f>'[1]5.Bezpečnosť, právo a por.'!$AF$133</f>
        <v>3000</v>
      </c>
      <c r="F67" s="564">
        <f>'[1]5.Bezpečnosť, právo a por.'!$AG$133</f>
        <v>0</v>
      </c>
      <c r="G67" s="565">
        <f>'[1]5.Bezpečnosť, právo a por.'!$AH$133</f>
        <v>0</v>
      </c>
      <c r="H67" s="563">
        <f>SUM(I67:K67)</f>
        <v>3000</v>
      </c>
      <c r="I67" s="564">
        <f>'[2]5.Bezpečnosť, právo a por.'!$AI$134</f>
        <v>3000</v>
      </c>
      <c r="J67" s="564">
        <f>'[2]5.Bezpečnosť, právo a por.'!$AJ$134</f>
        <v>0</v>
      </c>
      <c r="K67" s="565">
        <f>'[2]5.Bezpečnosť, právo a por.'!$AK$134</f>
        <v>0</v>
      </c>
      <c r="L67" s="269">
        <f>SUM(M67:O67)</f>
        <v>3000</v>
      </c>
      <c r="M67" s="270">
        <f>'[3]5.Bezpečnosť, právo a por.'!$AI$134</f>
        <v>3000</v>
      </c>
      <c r="N67" s="270">
        <f>'[3]5.Bezpečnosť, právo a por.'!$AJ$134</f>
        <v>0</v>
      </c>
      <c r="O67" s="641">
        <f>'[3]5.Bezpečnosť, právo a por.'!$AK$134</f>
        <v>0</v>
      </c>
      <c r="P67" s="269">
        <f>SUM(Q67:S67)</f>
        <v>3000</v>
      </c>
      <c r="Q67" s="270">
        <f>'[4]5.Bezpečnosť, právo a por.'!$AL$134</f>
        <v>3000</v>
      </c>
      <c r="R67" s="270">
        <f>'[4]5.Bezpečnosť, právo a por.'!$AM$134</f>
        <v>0</v>
      </c>
      <c r="S67" s="270">
        <f>'[4]5.Bezpečnosť, právo a por.'!$AN$134</f>
        <v>0</v>
      </c>
      <c r="T67" s="269">
        <f>SUM(U67:W67)</f>
        <v>0</v>
      </c>
      <c r="U67" s="270">
        <f>'[4]5.Bezpečnosť, právo a por.'!$AO$134</f>
        <v>0</v>
      </c>
      <c r="V67" s="270">
        <f>'[4]5.Bezpečnosť, právo a por.'!$AP$134</f>
        <v>0</v>
      </c>
      <c r="W67" s="270">
        <f>'[4]5.Bezpečnosť, právo a por.'!$AQ$134</f>
        <v>0</v>
      </c>
      <c r="X67" s="269">
        <f>SUM(Y67:AA67)</f>
        <v>0</v>
      </c>
      <c r="Y67" s="270">
        <f>'[4]5.Bezpečnosť, právo a por.'!$AR$134</f>
        <v>0</v>
      </c>
      <c r="Z67" s="270">
        <f>'[4]5.Bezpečnosť, právo a por.'!$AS$134</f>
        <v>0</v>
      </c>
      <c r="AA67" s="270">
        <f>'[4]5.Bezpečnosť, právo a por.'!$AT$134</f>
        <v>0</v>
      </c>
      <c r="AB67" s="269">
        <f>SUM(AC67:AE67)</f>
        <v>3000</v>
      </c>
      <c r="AC67" s="270">
        <f>'[4]5.Bezpečnosť, právo a por.'!$AU$134</f>
        <v>3000</v>
      </c>
      <c r="AD67" s="270">
        <f>'[4]5.Bezpečnosť, právo a por.'!$AV$134</f>
        <v>0</v>
      </c>
      <c r="AE67" s="303">
        <f>'[4]5.Bezpečnosť, právo a por.'!$AW$134</f>
        <v>0</v>
      </c>
    </row>
    <row r="68" spans="1:31" s="123" customFormat="1" ht="15.75" x14ac:dyDescent="0.25">
      <c r="A68" s="125"/>
      <c r="B68" s="277" t="s">
        <v>231</v>
      </c>
      <c r="C68" s="278"/>
      <c r="D68" s="557">
        <f t="shared" ref="D68:G68" si="122">D69+D72+D75</f>
        <v>938802.38</v>
      </c>
      <c r="E68" s="558">
        <f t="shared" si="122"/>
        <v>938802.38</v>
      </c>
      <c r="F68" s="558">
        <f t="shared" si="122"/>
        <v>0</v>
      </c>
      <c r="G68" s="559">
        <f t="shared" si="122"/>
        <v>0</v>
      </c>
      <c r="H68" s="557">
        <f t="shared" ref="H68:K68" si="123">H69+H72+H75</f>
        <v>1863786.1199999999</v>
      </c>
      <c r="I68" s="558">
        <f t="shared" si="123"/>
        <v>1863786.1199999999</v>
      </c>
      <c r="J68" s="558">
        <f t="shared" si="123"/>
        <v>0</v>
      </c>
      <c r="K68" s="559">
        <f t="shared" si="123"/>
        <v>0</v>
      </c>
      <c r="L68" s="267">
        <f t="shared" ref="L68:S68" si="124">L69+L72+L75</f>
        <v>1881500</v>
      </c>
      <c r="M68" s="268">
        <f t="shared" si="124"/>
        <v>1881500</v>
      </c>
      <c r="N68" s="268">
        <f t="shared" si="124"/>
        <v>0</v>
      </c>
      <c r="O68" s="355">
        <f t="shared" si="124"/>
        <v>0</v>
      </c>
      <c r="P68" s="267">
        <f t="shared" si="124"/>
        <v>1890500</v>
      </c>
      <c r="Q68" s="268">
        <f t="shared" si="124"/>
        <v>1884000</v>
      </c>
      <c r="R68" s="268">
        <f t="shared" si="124"/>
        <v>6500</v>
      </c>
      <c r="S68" s="355">
        <f t="shared" si="124"/>
        <v>0</v>
      </c>
      <c r="T68" s="267">
        <f t="shared" ref="T68:W68" si="125">T69+T72+T75</f>
        <v>579326.82000000007</v>
      </c>
      <c r="U68" s="268">
        <f t="shared" si="125"/>
        <v>572854.18000000005</v>
      </c>
      <c r="V68" s="268">
        <f t="shared" si="125"/>
        <v>6472.64</v>
      </c>
      <c r="W68" s="355">
        <f t="shared" si="125"/>
        <v>0</v>
      </c>
      <c r="X68" s="267">
        <f t="shared" ref="X68:AE68" si="126">X69+X72+X75</f>
        <v>5000</v>
      </c>
      <c r="Y68" s="268">
        <f t="shared" si="126"/>
        <v>5000</v>
      </c>
      <c r="Z68" s="268">
        <f t="shared" si="126"/>
        <v>0</v>
      </c>
      <c r="AA68" s="355">
        <f t="shared" si="126"/>
        <v>0</v>
      </c>
      <c r="AB68" s="267">
        <f t="shared" si="126"/>
        <v>1895500</v>
      </c>
      <c r="AC68" s="268">
        <f t="shared" si="126"/>
        <v>1889000</v>
      </c>
      <c r="AD68" s="268">
        <f t="shared" si="126"/>
        <v>6500</v>
      </c>
      <c r="AE68" s="355">
        <f t="shared" si="126"/>
        <v>0</v>
      </c>
    </row>
    <row r="69" spans="1:31" ht="15.75" x14ac:dyDescent="0.25">
      <c r="A69" s="124"/>
      <c r="B69" s="285" t="s">
        <v>232</v>
      </c>
      <c r="C69" s="286" t="s">
        <v>233</v>
      </c>
      <c r="D69" s="560">
        <f t="shared" ref="D69:G69" si="127">SUM(D70:D71)</f>
        <v>747672.29</v>
      </c>
      <c r="E69" s="561">
        <f t="shared" si="127"/>
        <v>747672.29</v>
      </c>
      <c r="F69" s="561">
        <f t="shared" si="127"/>
        <v>0</v>
      </c>
      <c r="G69" s="562">
        <f t="shared" si="127"/>
        <v>0</v>
      </c>
      <c r="H69" s="560">
        <f t="shared" ref="H69:K69" si="128">SUM(H70:H71)</f>
        <v>1663521.63</v>
      </c>
      <c r="I69" s="561">
        <f t="shared" si="128"/>
        <v>1663521.63</v>
      </c>
      <c r="J69" s="561">
        <f t="shared" si="128"/>
        <v>0</v>
      </c>
      <c r="K69" s="562">
        <f t="shared" si="128"/>
        <v>0</v>
      </c>
      <c r="L69" s="261">
        <f t="shared" ref="L69:S69" si="129">SUM(L70:L71)</f>
        <v>1666000</v>
      </c>
      <c r="M69" s="259">
        <f t="shared" si="129"/>
        <v>1666000</v>
      </c>
      <c r="N69" s="259">
        <f t="shared" si="129"/>
        <v>0</v>
      </c>
      <c r="O69" s="356">
        <f t="shared" si="129"/>
        <v>0</v>
      </c>
      <c r="P69" s="261">
        <f t="shared" si="129"/>
        <v>1675000</v>
      </c>
      <c r="Q69" s="259">
        <f t="shared" si="129"/>
        <v>1668500</v>
      </c>
      <c r="R69" s="259">
        <f t="shared" si="129"/>
        <v>6500</v>
      </c>
      <c r="S69" s="356">
        <f t="shared" si="129"/>
        <v>0</v>
      </c>
      <c r="T69" s="261">
        <f t="shared" ref="T69:W69" si="130">SUM(T70:T71)</f>
        <v>484087.16000000003</v>
      </c>
      <c r="U69" s="259">
        <f t="shared" si="130"/>
        <v>477614.52</v>
      </c>
      <c r="V69" s="259">
        <f t="shared" si="130"/>
        <v>6472.64</v>
      </c>
      <c r="W69" s="356">
        <f t="shared" si="130"/>
        <v>0</v>
      </c>
      <c r="X69" s="261">
        <f t="shared" ref="X69:AE69" si="131">SUM(X70:X71)</f>
        <v>5000</v>
      </c>
      <c r="Y69" s="259">
        <f t="shared" si="131"/>
        <v>5000</v>
      </c>
      <c r="Z69" s="259">
        <f t="shared" si="131"/>
        <v>0</v>
      </c>
      <c r="AA69" s="356">
        <f t="shared" si="131"/>
        <v>0</v>
      </c>
      <c r="AB69" s="261">
        <f t="shared" si="131"/>
        <v>1680000</v>
      </c>
      <c r="AC69" s="259">
        <f t="shared" si="131"/>
        <v>1673500</v>
      </c>
      <c r="AD69" s="259">
        <f t="shared" si="131"/>
        <v>6500</v>
      </c>
      <c r="AE69" s="356">
        <f t="shared" si="131"/>
        <v>0</v>
      </c>
    </row>
    <row r="70" spans="1:31" ht="15.75" x14ac:dyDescent="0.25">
      <c r="B70" s="273">
        <v>1</v>
      </c>
      <c r="C70" s="286" t="s">
        <v>234</v>
      </c>
      <c r="D70" s="560">
        <f>SUM(E70:G70)</f>
        <v>2597.31</v>
      </c>
      <c r="E70" s="561">
        <f>'[1]6.Odpadové hospodárstvo'!$AF$5</f>
        <v>2597.31</v>
      </c>
      <c r="F70" s="561">
        <f>'[1]6.Odpadové hospodárstvo'!$AG$5</f>
        <v>0</v>
      </c>
      <c r="G70" s="562">
        <f>'[1]6.Odpadové hospodárstvo'!$AH$5</f>
        <v>0</v>
      </c>
      <c r="H70" s="560">
        <f>SUM(I70:K70)</f>
        <v>5065.4799999999996</v>
      </c>
      <c r="I70" s="561">
        <f>'[2]6.Odpadové hospodárstvo'!$AI$5</f>
        <v>5065.4799999999996</v>
      </c>
      <c r="J70" s="561">
        <f>'[2]6.Odpadové hospodárstvo'!$AJ$5</f>
        <v>0</v>
      </c>
      <c r="K70" s="562">
        <f>'[2]6.Odpadové hospodárstvo'!$AK$5</f>
        <v>0</v>
      </c>
      <c r="L70" s="261">
        <f>SUM(M70:O70)</f>
        <v>8800</v>
      </c>
      <c r="M70" s="259">
        <f>'[3]6.Odpadové hospodárstvo'!$AI$5</f>
        <v>8800</v>
      </c>
      <c r="N70" s="259">
        <f>'[3]6.Odpadové hospodárstvo'!$AJ$5</f>
        <v>0</v>
      </c>
      <c r="O70" s="356">
        <f>'[3]6.Odpadové hospodárstvo'!$AK$5</f>
        <v>0</v>
      </c>
      <c r="P70" s="261">
        <f>SUM(Q70:S70)</f>
        <v>8800</v>
      </c>
      <c r="Q70" s="259">
        <f>'[4]6.Odpadové hospodárstvo'!$AL$5</f>
        <v>2300</v>
      </c>
      <c r="R70" s="259">
        <f>'[4]6.Odpadové hospodárstvo'!$AM$5</f>
        <v>6500</v>
      </c>
      <c r="S70" s="259">
        <f>'[4]6.Odpadové hospodárstvo'!$AN$5</f>
        <v>0</v>
      </c>
      <c r="T70" s="261">
        <f>SUM(U70:W70)</f>
        <v>6472.64</v>
      </c>
      <c r="U70" s="259">
        <f>'[4]6.Odpadové hospodárstvo'!$AO$5</f>
        <v>0</v>
      </c>
      <c r="V70" s="259">
        <f>'[4]6.Odpadové hospodárstvo'!$AP$5</f>
        <v>6472.64</v>
      </c>
      <c r="W70" s="259">
        <f>'[4]6.Odpadové hospodárstvo'!$AQ$5</f>
        <v>0</v>
      </c>
      <c r="X70" s="261">
        <f>SUM(Y70:AA70)</f>
        <v>0</v>
      </c>
      <c r="Y70" s="259">
        <f>'[4]6.Odpadové hospodárstvo'!$AR$5</f>
        <v>0</v>
      </c>
      <c r="Z70" s="259">
        <f>'[4]6.Odpadové hospodárstvo'!$AS$5</f>
        <v>0</v>
      </c>
      <c r="AA70" s="259">
        <f>'[4]6.Odpadové hospodárstvo'!$AT$5</f>
        <v>0</v>
      </c>
      <c r="AB70" s="261">
        <f>SUM(AC70:AE70)</f>
        <v>8800</v>
      </c>
      <c r="AC70" s="259">
        <f>'[4]6.Odpadové hospodárstvo'!$AU$5</f>
        <v>2300</v>
      </c>
      <c r="AD70" s="259">
        <f>'[4]6.Odpadové hospodárstvo'!$AV$5</f>
        <v>6500</v>
      </c>
      <c r="AE70" s="260">
        <f>'[4]6.Odpadové hospodárstvo'!$AW$5</f>
        <v>0</v>
      </c>
    </row>
    <row r="71" spans="1:31" ht="15.75" x14ac:dyDescent="0.25">
      <c r="B71" s="273">
        <v>2</v>
      </c>
      <c r="C71" s="274" t="s">
        <v>235</v>
      </c>
      <c r="D71" s="560">
        <f>SUM(E71:G71)</f>
        <v>745074.98</v>
      </c>
      <c r="E71" s="561">
        <f>'[1]6.Odpadové hospodárstvo'!$AF$10</f>
        <v>745074.98</v>
      </c>
      <c r="F71" s="561">
        <f>'[1]6.Odpadové hospodárstvo'!$AG$10</f>
        <v>0</v>
      </c>
      <c r="G71" s="562">
        <f>'[1]6.Odpadové hospodárstvo'!$AH$10</f>
        <v>0</v>
      </c>
      <c r="H71" s="560">
        <f>SUM(I71:K71)</f>
        <v>1658456.15</v>
      </c>
      <c r="I71" s="561">
        <f>'[2]6.Odpadové hospodárstvo'!$AI$10</f>
        <v>1658456.15</v>
      </c>
      <c r="J71" s="561">
        <f>'[2]6.Odpadové hospodárstvo'!$AJ$10</f>
        <v>0</v>
      </c>
      <c r="K71" s="562">
        <f>'[2]6.Odpadové hospodárstvo'!$AK$10</f>
        <v>0</v>
      </c>
      <c r="L71" s="261">
        <f>SUM(M71:O71)</f>
        <v>1657200</v>
      </c>
      <c r="M71" s="259">
        <f>'[3]6.Odpadové hospodárstvo'!$AI$10</f>
        <v>1657200</v>
      </c>
      <c r="N71" s="259">
        <f>'[3]6.Odpadové hospodárstvo'!$AJ$10</f>
        <v>0</v>
      </c>
      <c r="O71" s="356">
        <f>'[3]6.Odpadové hospodárstvo'!$AK$10</f>
        <v>0</v>
      </c>
      <c r="P71" s="261">
        <f>SUM(Q71:S71)</f>
        <v>1666200</v>
      </c>
      <c r="Q71" s="259">
        <f>'[4]6.Odpadové hospodárstvo'!$AL$10</f>
        <v>1666200</v>
      </c>
      <c r="R71" s="259">
        <f>'[4]6.Odpadové hospodárstvo'!$AM$10</f>
        <v>0</v>
      </c>
      <c r="S71" s="259">
        <f>'[4]6.Odpadové hospodárstvo'!$AN$10</f>
        <v>0</v>
      </c>
      <c r="T71" s="261">
        <f>SUM(U71:W71)</f>
        <v>477614.52</v>
      </c>
      <c r="U71" s="259">
        <f>'[4]6.Odpadové hospodárstvo'!$AO$10</f>
        <v>477614.52</v>
      </c>
      <c r="V71" s="259">
        <f>'[4]6.Odpadové hospodárstvo'!$AP$10</f>
        <v>0</v>
      </c>
      <c r="W71" s="259">
        <f>'[4]6.Odpadové hospodárstvo'!$AQ$10</f>
        <v>0</v>
      </c>
      <c r="X71" s="261">
        <f>SUM(Y71:AA71)</f>
        <v>5000</v>
      </c>
      <c r="Y71" s="259">
        <f>'[4]6.Odpadové hospodárstvo'!$AR$10</f>
        <v>5000</v>
      </c>
      <c r="Z71" s="259">
        <f>'[4]6.Odpadové hospodárstvo'!$AS$10</f>
        <v>0</v>
      </c>
      <c r="AA71" s="259">
        <f>'[4]6.Odpadové hospodárstvo'!$AT$10</f>
        <v>0</v>
      </c>
      <c r="AB71" s="261">
        <f>SUM(AC71:AE71)</f>
        <v>1671200</v>
      </c>
      <c r="AC71" s="259">
        <f>'[4]6.Odpadové hospodárstvo'!$AU$10</f>
        <v>1671200</v>
      </c>
      <c r="AD71" s="259">
        <f>'[4]6.Odpadové hospodárstvo'!$AV$10</f>
        <v>0</v>
      </c>
      <c r="AE71" s="260">
        <f>'[4]6.Odpadové hospodárstvo'!$AW$10</f>
        <v>0</v>
      </c>
    </row>
    <row r="72" spans="1:31" ht="15.75" x14ac:dyDescent="0.25">
      <c r="B72" s="285" t="s">
        <v>236</v>
      </c>
      <c r="C72" s="274" t="s">
        <v>237</v>
      </c>
      <c r="D72" s="560">
        <f t="shared" ref="D72:G72" si="132">SUM(D73:D74)</f>
        <v>0</v>
      </c>
      <c r="E72" s="561">
        <f t="shared" si="132"/>
        <v>0</v>
      </c>
      <c r="F72" s="561">
        <f t="shared" si="132"/>
        <v>0</v>
      </c>
      <c r="G72" s="562">
        <f t="shared" si="132"/>
        <v>0</v>
      </c>
      <c r="H72" s="560">
        <f t="shared" ref="H72:K72" si="133">SUM(H73:H74)</f>
        <v>0</v>
      </c>
      <c r="I72" s="561">
        <f t="shared" si="133"/>
        <v>0</v>
      </c>
      <c r="J72" s="561">
        <f t="shared" si="133"/>
        <v>0</v>
      </c>
      <c r="K72" s="562">
        <f t="shared" si="133"/>
        <v>0</v>
      </c>
      <c r="L72" s="261">
        <f t="shared" ref="L72:S72" si="134">SUM(L73:L74)</f>
        <v>0</v>
      </c>
      <c r="M72" s="259">
        <f t="shared" si="134"/>
        <v>0</v>
      </c>
      <c r="N72" s="259">
        <f t="shared" si="134"/>
        <v>0</v>
      </c>
      <c r="O72" s="356">
        <f t="shared" si="134"/>
        <v>0</v>
      </c>
      <c r="P72" s="261">
        <f t="shared" si="134"/>
        <v>0</v>
      </c>
      <c r="Q72" s="259">
        <f t="shared" si="134"/>
        <v>0</v>
      </c>
      <c r="R72" s="259">
        <f t="shared" si="134"/>
        <v>0</v>
      </c>
      <c r="S72" s="356">
        <f t="shared" si="134"/>
        <v>0</v>
      </c>
      <c r="T72" s="261">
        <f t="shared" ref="T72:W72" si="135">SUM(T73:T74)</f>
        <v>0</v>
      </c>
      <c r="U72" s="259">
        <f t="shared" si="135"/>
        <v>0</v>
      </c>
      <c r="V72" s="259">
        <f t="shared" si="135"/>
        <v>0</v>
      </c>
      <c r="W72" s="356">
        <f t="shared" si="135"/>
        <v>0</v>
      </c>
      <c r="X72" s="261">
        <f t="shared" ref="X72:AE72" si="136">SUM(X73:X74)</f>
        <v>0</v>
      </c>
      <c r="Y72" s="259">
        <f t="shared" si="136"/>
        <v>0</v>
      </c>
      <c r="Z72" s="259">
        <f t="shared" si="136"/>
        <v>0</v>
      </c>
      <c r="AA72" s="356">
        <f t="shared" si="136"/>
        <v>0</v>
      </c>
      <c r="AB72" s="261">
        <f t="shared" si="136"/>
        <v>0</v>
      </c>
      <c r="AC72" s="259">
        <f t="shared" si="136"/>
        <v>0</v>
      </c>
      <c r="AD72" s="259">
        <f t="shared" si="136"/>
        <v>0</v>
      </c>
      <c r="AE72" s="356">
        <f t="shared" si="136"/>
        <v>0</v>
      </c>
    </row>
    <row r="73" spans="1:31" ht="15.75" x14ac:dyDescent="0.25">
      <c r="B73" s="273">
        <v>1</v>
      </c>
      <c r="C73" s="274" t="s">
        <v>238</v>
      </c>
      <c r="D73" s="560">
        <f>SUM(E73:G73)</f>
        <v>0</v>
      </c>
      <c r="E73" s="561">
        <f>'[1]6.Odpadové hospodárstvo'!$AF$26</f>
        <v>0</v>
      </c>
      <c r="F73" s="561">
        <f>'[1]6.Odpadové hospodárstvo'!$AG$26</f>
        <v>0</v>
      </c>
      <c r="G73" s="562">
        <f>'[1]6.Odpadové hospodárstvo'!$AH$26</f>
        <v>0</v>
      </c>
      <c r="H73" s="560">
        <f>SUM(I73:K73)</f>
        <v>0</v>
      </c>
      <c r="I73" s="561">
        <f>'[2]6.Odpadové hospodárstvo'!$AI$26</f>
        <v>0</v>
      </c>
      <c r="J73" s="561">
        <f>'[2]6.Odpadové hospodárstvo'!$AJ$26</f>
        <v>0</v>
      </c>
      <c r="K73" s="562">
        <f>'[2]6.Odpadové hospodárstvo'!$AK$26</f>
        <v>0</v>
      </c>
      <c r="L73" s="261">
        <f>SUM(M73:O73)</f>
        <v>0</v>
      </c>
      <c r="M73" s="259">
        <f>'[3]6.Odpadové hospodárstvo'!$AI$26</f>
        <v>0</v>
      </c>
      <c r="N73" s="259">
        <f>'[3]6.Odpadové hospodárstvo'!$AJ$26</f>
        <v>0</v>
      </c>
      <c r="O73" s="356">
        <f>'[3]6.Odpadové hospodárstvo'!$AK$26</f>
        <v>0</v>
      </c>
      <c r="P73" s="261">
        <f>SUM(Q73:S73)</f>
        <v>0</v>
      </c>
      <c r="Q73" s="259">
        <f>'[4]6.Odpadové hospodárstvo'!$AL$26</f>
        <v>0</v>
      </c>
      <c r="R73" s="259">
        <f>'[4]6.Odpadové hospodárstvo'!$AM$26</f>
        <v>0</v>
      </c>
      <c r="S73" s="259">
        <f>'[4]6.Odpadové hospodárstvo'!$AN$26</f>
        <v>0</v>
      </c>
      <c r="T73" s="261">
        <f>SUM(U73:W73)</f>
        <v>0</v>
      </c>
      <c r="U73" s="259">
        <f>'[4]6.Odpadové hospodárstvo'!$AO$26</f>
        <v>0</v>
      </c>
      <c r="V73" s="259">
        <f>'[4]6.Odpadové hospodárstvo'!$AP$26</f>
        <v>0</v>
      </c>
      <c r="W73" s="259">
        <f>'[4]6.Odpadové hospodárstvo'!$AQ$26</f>
        <v>0</v>
      </c>
      <c r="X73" s="261">
        <f>SUM(Y73:AA73)</f>
        <v>0</v>
      </c>
      <c r="Y73" s="259">
        <f>'[4]6.Odpadové hospodárstvo'!$AR$26</f>
        <v>0</v>
      </c>
      <c r="Z73" s="259">
        <f>'[4]6.Odpadové hospodárstvo'!$AS$26</f>
        <v>0</v>
      </c>
      <c r="AA73" s="259">
        <f>'[4]6.Odpadové hospodárstvo'!$AT$26</f>
        <v>0</v>
      </c>
      <c r="AB73" s="261">
        <f>SUM(AC73:AE73)</f>
        <v>0</v>
      </c>
      <c r="AC73" s="259">
        <f>'[4]6.Odpadové hospodárstvo'!$AU$26</f>
        <v>0</v>
      </c>
      <c r="AD73" s="259">
        <f>'[4]6.Odpadové hospodárstvo'!$AV$26</f>
        <v>0</v>
      </c>
      <c r="AE73" s="260">
        <f>'[4]6.Odpadové hospodárstvo'!$AW$26</f>
        <v>0</v>
      </c>
    </row>
    <row r="74" spans="1:31" ht="15.75" x14ac:dyDescent="0.25">
      <c r="B74" s="273">
        <v>2</v>
      </c>
      <c r="C74" s="286" t="s">
        <v>239</v>
      </c>
      <c r="D74" s="560">
        <f>SUM(E74:G74)</f>
        <v>0</v>
      </c>
      <c r="E74" s="561">
        <f>'[1]6.Odpadové hospodárstvo'!$AF$29</f>
        <v>0</v>
      </c>
      <c r="F74" s="561">
        <f>'[1]6.Odpadové hospodárstvo'!$AG$29</f>
        <v>0</v>
      </c>
      <c r="G74" s="562">
        <f>'[1]6.Odpadové hospodárstvo'!$AH$29</f>
        <v>0</v>
      </c>
      <c r="H74" s="560">
        <f>SUM(I74:K74)</f>
        <v>0</v>
      </c>
      <c r="I74" s="561">
        <f>'[2]6.Odpadové hospodárstvo'!$AI$29</f>
        <v>0</v>
      </c>
      <c r="J74" s="561">
        <f>'[2]6.Odpadové hospodárstvo'!$AJ$29</f>
        <v>0</v>
      </c>
      <c r="K74" s="562">
        <f>'[2]6.Odpadové hospodárstvo'!$AK$29</f>
        <v>0</v>
      </c>
      <c r="L74" s="261">
        <f>SUM(M74:O74)</f>
        <v>0</v>
      </c>
      <c r="M74" s="259">
        <f>'[3]6.Odpadové hospodárstvo'!$AI$29</f>
        <v>0</v>
      </c>
      <c r="N74" s="259">
        <f>'[3]6.Odpadové hospodárstvo'!$AJ$29</f>
        <v>0</v>
      </c>
      <c r="O74" s="356">
        <f>'[3]6.Odpadové hospodárstvo'!$AK$29</f>
        <v>0</v>
      </c>
      <c r="P74" s="261">
        <f>SUM(Q74:S74)</f>
        <v>0</v>
      </c>
      <c r="Q74" s="259">
        <f>'[4]6.Odpadové hospodárstvo'!$AL$29</f>
        <v>0</v>
      </c>
      <c r="R74" s="259">
        <f>'[4]6.Odpadové hospodárstvo'!$AM$29</f>
        <v>0</v>
      </c>
      <c r="S74" s="259">
        <f>'[4]6.Odpadové hospodárstvo'!$AN$29</f>
        <v>0</v>
      </c>
      <c r="T74" s="261">
        <f>SUM(U74:W74)</f>
        <v>0</v>
      </c>
      <c r="U74" s="259">
        <f>'[4]6.Odpadové hospodárstvo'!$AO$29</f>
        <v>0</v>
      </c>
      <c r="V74" s="259">
        <f>'[4]6.Odpadové hospodárstvo'!$AP$29</f>
        <v>0</v>
      </c>
      <c r="W74" s="259">
        <f>'[4]6.Odpadové hospodárstvo'!$AQ$29</f>
        <v>0</v>
      </c>
      <c r="X74" s="261">
        <f>SUM(Y74:AA74)</f>
        <v>0</v>
      </c>
      <c r="Y74" s="259">
        <f>'[4]6.Odpadové hospodárstvo'!$AR$29</f>
        <v>0</v>
      </c>
      <c r="Z74" s="259">
        <f>'[4]6.Odpadové hospodárstvo'!$AS$29</f>
        <v>0</v>
      </c>
      <c r="AA74" s="259">
        <f>'[4]6.Odpadové hospodárstvo'!$AT$29</f>
        <v>0</v>
      </c>
      <c r="AB74" s="261">
        <f>SUM(AC74:AE74)</f>
        <v>0</v>
      </c>
      <c r="AC74" s="259">
        <f>'[4]6.Odpadové hospodárstvo'!$AU$29</f>
        <v>0</v>
      </c>
      <c r="AD74" s="259">
        <f>'[4]6.Odpadové hospodárstvo'!$AV$29</f>
        <v>0</v>
      </c>
      <c r="AE74" s="260">
        <f>'[4]6.Odpadové hospodárstvo'!$AW$29</f>
        <v>0</v>
      </c>
    </row>
    <row r="75" spans="1:31" ht="16.5" thickBot="1" x14ac:dyDescent="0.3">
      <c r="B75" s="287" t="s">
        <v>240</v>
      </c>
      <c r="C75" s="288" t="s">
        <v>241</v>
      </c>
      <c r="D75" s="563">
        <f>SUM(E75:G75)</f>
        <v>191130.09</v>
      </c>
      <c r="E75" s="564">
        <f>'[1]6.Odpadové hospodárstvo'!$AF$31</f>
        <v>191130.09</v>
      </c>
      <c r="F75" s="564">
        <f>'[1]6.Odpadové hospodárstvo'!$AG$31</f>
        <v>0</v>
      </c>
      <c r="G75" s="565">
        <f>'[1]6.Odpadové hospodárstvo'!$AH$31</f>
        <v>0</v>
      </c>
      <c r="H75" s="563">
        <f>SUM(I75:K75)</f>
        <v>200264.49</v>
      </c>
      <c r="I75" s="564">
        <f>'[2]6.Odpadové hospodárstvo'!$AI$31</f>
        <v>200264.49</v>
      </c>
      <c r="J75" s="564">
        <f>'[2]6.Odpadové hospodárstvo'!$AJ$31</f>
        <v>0</v>
      </c>
      <c r="K75" s="565">
        <f>'[2]6.Odpadové hospodárstvo'!$AK$31</f>
        <v>0</v>
      </c>
      <c r="L75" s="269">
        <f>SUM(M75:O75)</f>
        <v>215500</v>
      </c>
      <c r="M75" s="270">
        <f>'[3]6.Odpadové hospodárstvo'!$AI$31</f>
        <v>215500</v>
      </c>
      <c r="N75" s="270">
        <f>'[3]6.Odpadové hospodárstvo'!$AJ$31</f>
        <v>0</v>
      </c>
      <c r="O75" s="641">
        <f>'[3]6.Odpadové hospodárstvo'!$AK$31</f>
        <v>0</v>
      </c>
      <c r="P75" s="269">
        <f>SUM(Q75:S75)</f>
        <v>215500</v>
      </c>
      <c r="Q75" s="270">
        <f>'[4]6.Odpadové hospodárstvo'!$AL$31</f>
        <v>215500</v>
      </c>
      <c r="R75" s="270">
        <f>'[4]6.Odpadové hospodárstvo'!$AM$31</f>
        <v>0</v>
      </c>
      <c r="S75" s="270">
        <f>'[4]6.Odpadové hospodárstvo'!$AN$31</f>
        <v>0</v>
      </c>
      <c r="T75" s="269">
        <f>SUM(U75:W75)</f>
        <v>95239.66</v>
      </c>
      <c r="U75" s="270">
        <f>'[4]6.Odpadové hospodárstvo'!$AO$31</f>
        <v>95239.66</v>
      </c>
      <c r="V75" s="270">
        <f>'[4]6.Odpadové hospodárstvo'!$AP$31</f>
        <v>0</v>
      </c>
      <c r="W75" s="270">
        <f>'[4]6.Odpadové hospodárstvo'!$AQ$31</f>
        <v>0</v>
      </c>
      <c r="X75" s="269">
        <f>SUM(Y75:AA75)</f>
        <v>0</v>
      </c>
      <c r="Y75" s="270">
        <f>'[4]6.Odpadové hospodárstvo'!$AR$31</f>
        <v>0</v>
      </c>
      <c r="Z75" s="270">
        <f>'[4]6.Odpadové hospodárstvo'!$AS$31</f>
        <v>0</v>
      </c>
      <c r="AA75" s="270">
        <f>'[4]6.Odpadové hospodárstvo'!$AT$31</f>
        <v>0</v>
      </c>
      <c r="AB75" s="269">
        <f>SUM(AC75:AE75)</f>
        <v>215500</v>
      </c>
      <c r="AC75" s="270">
        <f>'[4]6.Odpadové hospodárstvo'!$AU$31</f>
        <v>215500</v>
      </c>
      <c r="AD75" s="270">
        <f>'[4]6.Odpadové hospodárstvo'!$AV$31</f>
        <v>0</v>
      </c>
      <c r="AE75" s="303">
        <f>'[4]6.Odpadové hospodárstvo'!$AW$31</f>
        <v>0</v>
      </c>
    </row>
    <row r="76" spans="1:31" s="123" customFormat="1" ht="15.75" x14ac:dyDescent="0.25">
      <c r="B76" s="277" t="s">
        <v>242</v>
      </c>
      <c r="C76" s="278"/>
      <c r="D76" s="557">
        <f t="shared" ref="D76:G76" si="137">D77+D85+D88</f>
        <v>733207.41999999993</v>
      </c>
      <c r="E76" s="558">
        <f t="shared" si="137"/>
        <v>498463.26000000007</v>
      </c>
      <c r="F76" s="558">
        <f t="shared" si="137"/>
        <v>234744.16</v>
      </c>
      <c r="G76" s="559">
        <f t="shared" si="137"/>
        <v>0</v>
      </c>
      <c r="H76" s="557">
        <f t="shared" ref="H76:K76" si="138">H77+H85+H88</f>
        <v>2360153.65</v>
      </c>
      <c r="I76" s="558">
        <f t="shared" si="138"/>
        <v>454554.13000000006</v>
      </c>
      <c r="J76" s="558">
        <f t="shared" si="138"/>
        <v>1905599.5199999998</v>
      </c>
      <c r="K76" s="559">
        <f t="shared" si="138"/>
        <v>0</v>
      </c>
      <c r="L76" s="267">
        <f t="shared" ref="L76:S76" si="139">L77+L85+L88</f>
        <v>3084100</v>
      </c>
      <c r="M76" s="268">
        <f t="shared" si="139"/>
        <v>427100</v>
      </c>
      <c r="N76" s="268">
        <f t="shared" si="139"/>
        <v>2657000</v>
      </c>
      <c r="O76" s="355">
        <f t="shared" si="139"/>
        <v>0</v>
      </c>
      <c r="P76" s="267">
        <f t="shared" si="139"/>
        <v>3253475</v>
      </c>
      <c r="Q76" s="268">
        <f t="shared" si="139"/>
        <v>412475</v>
      </c>
      <c r="R76" s="268">
        <f t="shared" si="139"/>
        <v>2841000</v>
      </c>
      <c r="S76" s="355">
        <f t="shared" si="139"/>
        <v>0</v>
      </c>
      <c r="T76" s="267">
        <f t="shared" ref="T76:W76" si="140">T77+T85+T88</f>
        <v>465788.07</v>
      </c>
      <c r="U76" s="268">
        <f t="shared" si="140"/>
        <v>206399.93</v>
      </c>
      <c r="V76" s="268">
        <f t="shared" si="140"/>
        <v>259388.14</v>
      </c>
      <c r="W76" s="355">
        <f t="shared" si="140"/>
        <v>0</v>
      </c>
      <c r="X76" s="267">
        <f t="shared" ref="X76:Z76" si="141">X77+X85+X88</f>
        <v>-358800</v>
      </c>
      <c r="Y76" s="268">
        <f t="shared" si="141"/>
        <v>-17800</v>
      </c>
      <c r="Z76" s="268">
        <f t="shared" si="141"/>
        <v>-341000</v>
      </c>
      <c r="AA76" s="355">
        <f>AA77+AA85+AA88</f>
        <v>0</v>
      </c>
      <c r="AB76" s="267">
        <f t="shared" ref="AB76:AE76" si="142">AB77+AB85+AB88</f>
        <v>2894675</v>
      </c>
      <c r="AC76" s="268">
        <f t="shared" si="142"/>
        <v>394675</v>
      </c>
      <c r="AD76" s="268">
        <f t="shared" si="142"/>
        <v>2500000</v>
      </c>
      <c r="AE76" s="355">
        <f t="shared" si="142"/>
        <v>0</v>
      </c>
    </row>
    <row r="77" spans="1:31" ht="15.75" x14ac:dyDescent="0.25">
      <c r="B77" s="285" t="s">
        <v>243</v>
      </c>
      <c r="C77" s="274" t="s">
        <v>244</v>
      </c>
      <c r="D77" s="560">
        <f t="shared" ref="D77:G77" si="143">SUM(D78:D84)</f>
        <v>684244.16</v>
      </c>
      <c r="E77" s="561">
        <f t="shared" si="143"/>
        <v>457344.20000000007</v>
      </c>
      <c r="F77" s="561">
        <f t="shared" si="143"/>
        <v>226899.96</v>
      </c>
      <c r="G77" s="562">
        <f t="shared" si="143"/>
        <v>0</v>
      </c>
      <c r="H77" s="560">
        <f t="shared" ref="H77:K77" si="144">SUM(H78:H84)</f>
        <v>644881.99</v>
      </c>
      <c r="I77" s="561">
        <f t="shared" si="144"/>
        <v>417982.03</v>
      </c>
      <c r="J77" s="561">
        <f t="shared" si="144"/>
        <v>226899.96</v>
      </c>
      <c r="K77" s="562">
        <f t="shared" si="144"/>
        <v>0</v>
      </c>
      <c r="L77" s="261">
        <f t="shared" ref="L77:S77" si="145">SUM(L78:L84)</f>
        <v>635100</v>
      </c>
      <c r="M77" s="259">
        <f t="shared" si="145"/>
        <v>398100</v>
      </c>
      <c r="N77" s="259">
        <f t="shared" si="145"/>
        <v>237000</v>
      </c>
      <c r="O77" s="356">
        <f t="shared" si="145"/>
        <v>0</v>
      </c>
      <c r="P77" s="261">
        <f t="shared" si="145"/>
        <v>620100</v>
      </c>
      <c r="Q77" s="259">
        <f t="shared" si="145"/>
        <v>383100</v>
      </c>
      <c r="R77" s="259">
        <f t="shared" si="145"/>
        <v>237000</v>
      </c>
      <c r="S77" s="356">
        <f t="shared" si="145"/>
        <v>0</v>
      </c>
      <c r="T77" s="261">
        <f t="shared" ref="T77:W77" si="146">SUM(T78:T84)</f>
        <v>274910.19</v>
      </c>
      <c r="U77" s="259">
        <f t="shared" si="146"/>
        <v>199276.87</v>
      </c>
      <c r="V77" s="259">
        <f t="shared" si="146"/>
        <v>75633.320000000007</v>
      </c>
      <c r="W77" s="356">
        <f t="shared" si="146"/>
        <v>0</v>
      </c>
      <c r="X77" s="261">
        <f t="shared" ref="X77:AE77" si="147">SUM(X78:X84)</f>
        <v>-20000</v>
      </c>
      <c r="Y77" s="259">
        <f t="shared" si="147"/>
        <v>-20000</v>
      </c>
      <c r="Z77" s="259">
        <f t="shared" si="147"/>
        <v>0</v>
      </c>
      <c r="AA77" s="356">
        <f t="shared" si="147"/>
        <v>0</v>
      </c>
      <c r="AB77" s="261">
        <f t="shared" si="147"/>
        <v>600100</v>
      </c>
      <c r="AC77" s="259">
        <f t="shared" si="147"/>
        <v>363100</v>
      </c>
      <c r="AD77" s="259">
        <f t="shared" si="147"/>
        <v>237000</v>
      </c>
      <c r="AE77" s="356">
        <f t="shared" si="147"/>
        <v>0</v>
      </c>
    </row>
    <row r="78" spans="1:31" ht="15.75" x14ac:dyDescent="0.25">
      <c r="B78" s="273">
        <v>1</v>
      </c>
      <c r="C78" s="274" t="s">
        <v>245</v>
      </c>
      <c r="D78" s="560">
        <f>SUM(E78:G78)</f>
        <v>0</v>
      </c>
      <c r="E78" s="561">
        <f>'[1]7.Komunikácie'!$AF$5</f>
        <v>0</v>
      </c>
      <c r="F78" s="561">
        <f>'[1]7.Komunikácie'!$AG$5</f>
        <v>0</v>
      </c>
      <c r="G78" s="562">
        <f>'[1]7.Komunikácie'!$AH$5</f>
        <v>0</v>
      </c>
      <c r="H78" s="560">
        <f>SUM(I78:K78)</f>
        <v>0</v>
      </c>
      <c r="I78" s="561">
        <f>'[2]7.Komunikácie'!$AI$5</f>
        <v>0</v>
      </c>
      <c r="J78" s="561">
        <f>'[2]7.Komunikácie'!$AJ$5</f>
        <v>0</v>
      </c>
      <c r="K78" s="562">
        <f>'[2]7.Komunikácie'!$AK$5</f>
        <v>0</v>
      </c>
      <c r="L78" s="261">
        <f>SUM(M78:O78)</f>
        <v>0</v>
      </c>
      <c r="M78" s="259">
        <f>'[3]7.Komunikácie'!$AI$5</f>
        <v>0</v>
      </c>
      <c r="N78" s="259">
        <f>'[3]7.Komunikácie'!$AJ$5</f>
        <v>0</v>
      </c>
      <c r="O78" s="356">
        <f>'[3]7.Komunikácie'!$AK$5</f>
        <v>0</v>
      </c>
      <c r="P78" s="261">
        <f>SUM(Q78:S78)</f>
        <v>0</v>
      </c>
      <c r="Q78" s="259">
        <f>'[4]7.Komunikácie'!$AL$5</f>
        <v>0</v>
      </c>
      <c r="R78" s="259">
        <f>'[4]7.Komunikácie'!$AM$5</f>
        <v>0</v>
      </c>
      <c r="S78" s="259">
        <f>'[4]7.Komunikácie'!$AN$5</f>
        <v>0</v>
      </c>
      <c r="T78" s="261">
        <f>SUM(U78:W78)</f>
        <v>0</v>
      </c>
      <c r="U78" s="259">
        <f>'[4]7.Komunikácie'!$AO$5</f>
        <v>0</v>
      </c>
      <c r="V78" s="259">
        <f>'[4]7.Komunikácie'!$AP$5</f>
        <v>0</v>
      </c>
      <c r="W78" s="259">
        <f>'[4]7.Komunikácie'!$AQ$5</f>
        <v>0</v>
      </c>
      <c r="X78" s="261">
        <f>SUM(Y78:AA78)</f>
        <v>0</v>
      </c>
      <c r="Y78" s="259">
        <f>'[4]7.Komunikácie'!$AR$5</f>
        <v>0</v>
      </c>
      <c r="Z78" s="259">
        <f>'[4]7.Komunikácie'!$AS$5</f>
        <v>0</v>
      </c>
      <c r="AA78" s="259">
        <f>'[4]7.Komunikácie'!$AT$5</f>
        <v>0</v>
      </c>
      <c r="AB78" s="261">
        <f>SUM(AC78:AE78)</f>
        <v>0</v>
      </c>
      <c r="AC78" s="259">
        <f>'[4]7.Komunikácie'!$AU$5</f>
        <v>0</v>
      </c>
      <c r="AD78" s="259">
        <f>'[4]7.Komunikácie'!$AV$5</f>
        <v>0</v>
      </c>
      <c r="AE78" s="260">
        <f>'[4]7.Komunikácie'!$AW$5</f>
        <v>0</v>
      </c>
    </row>
    <row r="79" spans="1:31" ht="15.75" x14ac:dyDescent="0.25">
      <c r="B79" s="273">
        <v>2</v>
      </c>
      <c r="C79" s="274" t="s">
        <v>246</v>
      </c>
      <c r="D79" s="560">
        <f t="shared" ref="D79:D84" si="148">SUM(E79:G79)</f>
        <v>226899.96</v>
      </c>
      <c r="E79" s="561">
        <f>'[1]7.Komunikácie'!$AF$7</f>
        <v>0</v>
      </c>
      <c r="F79" s="561">
        <f>'[1]7.Komunikácie'!$AG$7</f>
        <v>226899.96</v>
      </c>
      <c r="G79" s="562">
        <f>'[1]7.Komunikácie'!$AH$7</f>
        <v>0</v>
      </c>
      <c r="H79" s="560">
        <f t="shared" ref="H79:H84" si="149">SUM(I79:K79)</f>
        <v>226899.96</v>
      </c>
      <c r="I79" s="561">
        <f>'[2]7.Komunikácie'!$AI$7</f>
        <v>0</v>
      </c>
      <c r="J79" s="561">
        <f>'[2]7.Komunikácie'!$AJ$7</f>
        <v>226899.96</v>
      </c>
      <c r="K79" s="562">
        <f>'[2]7.Komunikácie'!$AK$7</f>
        <v>0</v>
      </c>
      <c r="L79" s="261">
        <f t="shared" ref="L79:L84" si="150">SUM(M79:O79)</f>
        <v>237000</v>
      </c>
      <c r="M79" s="259">
        <f>'[3]7.Komunikácie'!$AI$7</f>
        <v>0</v>
      </c>
      <c r="N79" s="259">
        <f>'[3]7.Komunikácie'!$AJ$7</f>
        <v>237000</v>
      </c>
      <c r="O79" s="356">
        <f>'[3]7.Komunikácie'!$AK$7</f>
        <v>0</v>
      </c>
      <c r="P79" s="261">
        <f t="shared" ref="P79:P84" si="151">SUM(Q79:S79)</f>
        <v>237000</v>
      </c>
      <c r="Q79" s="259">
        <f>'[4]7.Komunikácie'!$AL$7</f>
        <v>0</v>
      </c>
      <c r="R79" s="259">
        <f>'[4]7.Komunikácie'!$AM$7</f>
        <v>237000</v>
      </c>
      <c r="S79" s="259">
        <f>'[4]7.Komunikácie'!$AN$7</f>
        <v>0</v>
      </c>
      <c r="T79" s="261">
        <f t="shared" ref="T79:T84" si="152">SUM(U79:W79)</f>
        <v>75633.320000000007</v>
      </c>
      <c r="U79" s="259">
        <f>'[4]7.Komunikácie'!$AO$7</f>
        <v>0</v>
      </c>
      <c r="V79" s="259">
        <f>'[4]7.Komunikácie'!$AP$7</f>
        <v>75633.320000000007</v>
      </c>
      <c r="W79" s="259">
        <f>'[4]7.Komunikácie'!$AQ$7</f>
        <v>0</v>
      </c>
      <c r="X79" s="261">
        <f t="shared" ref="X79:X84" si="153">SUM(Y79:AA79)</f>
        <v>0</v>
      </c>
      <c r="Y79" s="259">
        <f>'[4]7.Komunikácie'!$AR$7</f>
        <v>0</v>
      </c>
      <c r="Z79" s="259">
        <f>'[4]7.Komunikácie'!$AS$7</f>
        <v>0</v>
      </c>
      <c r="AA79" s="259">
        <f>'[4]7.Komunikácie'!$AT$7</f>
        <v>0</v>
      </c>
      <c r="AB79" s="261">
        <f t="shared" ref="AB79:AB84" si="154">SUM(AC79:AE79)</f>
        <v>237000</v>
      </c>
      <c r="AC79" s="259">
        <f>'[4]7.Komunikácie'!$AU$7</f>
        <v>0</v>
      </c>
      <c r="AD79" s="259">
        <f>'[4]7.Komunikácie'!$AV$7</f>
        <v>237000</v>
      </c>
      <c r="AE79" s="260">
        <f>'[4]7.Komunikácie'!$AW$7</f>
        <v>0</v>
      </c>
    </row>
    <row r="80" spans="1:31" ht="15.75" x14ac:dyDescent="0.25">
      <c r="B80" s="273">
        <v>3</v>
      </c>
      <c r="C80" s="274" t="s">
        <v>247</v>
      </c>
      <c r="D80" s="560">
        <f t="shared" si="148"/>
        <v>80844.92</v>
      </c>
      <c r="E80" s="561">
        <f>'[1]7.Komunikácie'!$AF$15</f>
        <v>80844.92</v>
      </c>
      <c r="F80" s="561">
        <f>'[1]7.Komunikácie'!$AG$15</f>
        <v>0</v>
      </c>
      <c r="G80" s="562">
        <f>'[1]7.Komunikácie'!$AH$15</f>
        <v>0</v>
      </c>
      <c r="H80" s="560">
        <f t="shared" si="149"/>
        <v>81043.48</v>
      </c>
      <c r="I80" s="561">
        <f>'[2]7.Komunikácie'!$AI$15</f>
        <v>81043.48</v>
      </c>
      <c r="J80" s="561">
        <f>'[2]7.Komunikácie'!$AJ$15</f>
        <v>0</v>
      </c>
      <c r="K80" s="562">
        <f>'[2]7.Komunikácie'!$AK$15</f>
        <v>0</v>
      </c>
      <c r="L80" s="261">
        <f t="shared" si="150"/>
        <v>65000</v>
      </c>
      <c r="M80" s="259">
        <f>'[3]7.Komunikácie'!$AI$15</f>
        <v>65000</v>
      </c>
      <c r="N80" s="259">
        <f>'[3]7.Komunikácie'!$AJ$15</f>
        <v>0</v>
      </c>
      <c r="O80" s="356">
        <f>'[3]7.Komunikácie'!$AK$15</f>
        <v>0</v>
      </c>
      <c r="P80" s="261">
        <f t="shared" si="151"/>
        <v>50000</v>
      </c>
      <c r="Q80" s="259">
        <f>'[4]7.Komunikácie'!$AL$15</f>
        <v>50000</v>
      </c>
      <c r="R80" s="259">
        <f>'[4]7.Komunikácie'!$AM$15</f>
        <v>0</v>
      </c>
      <c r="S80" s="259">
        <f>'[4]7.Komunikácie'!$AN$15</f>
        <v>0</v>
      </c>
      <c r="T80" s="261">
        <f t="shared" si="152"/>
        <v>48397.43</v>
      </c>
      <c r="U80" s="259">
        <f>'[4]7.Komunikácie'!$AO$15</f>
        <v>48397.43</v>
      </c>
      <c r="V80" s="259">
        <f>'[4]7.Komunikácie'!$AP$15</f>
        <v>0</v>
      </c>
      <c r="W80" s="259">
        <f>'[4]7.Komunikácie'!$AQ$15</f>
        <v>0</v>
      </c>
      <c r="X80" s="261">
        <f t="shared" si="153"/>
        <v>0</v>
      </c>
      <c r="Y80" s="259">
        <f>'[4]7.Komunikácie'!$AR$15</f>
        <v>0</v>
      </c>
      <c r="Z80" s="259">
        <f>'[4]7.Komunikácie'!$AS$15</f>
        <v>0</v>
      </c>
      <c r="AA80" s="259">
        <f>'[4]7.Komunikácie'!$AT$15</f>
        <v>0</v>
      </c>
      <c r="AB80" s="261">
        <f t="shared" si="154"/>
        <v>50000</v>
      </c>
      <c r="AC80" s="259">
        <f>'[4]7.Komunikácie'!$AU$15</f>
        <v>50000</v>
      </c>
      <c r="AD80" s="259">
        <f>'[4]7.Komunikácie'!$AV$15</f>
        <v>0</v>
      </c>
      <c r="AE80" s="260">
        <f>'[4]7.Komunikácie'!$AW$15</f>
        <v>0</v>
      </c>
    </row>
    <row r="81" spans="2:31" ht="15.75" x14ac:dyDescent="0.25">
      <c r="B81" s="273">
        <v>4</v>
      </c>
      <c r="C81" s="274" t="s">
        <v>248</v>
      </c>
      <c r="D81" s="560">
        <f t="shared" si="148"/>
        <v>292041.21000000002</v>
      </c>
      <c r="E81" s="561">
        <f>'[1]7.Komunikácie'!$AF$17</f>
        <v>292041.21000000002</v>
      </c>
      <c r="F81" s="561">
        <f>'[1]7.Komunikácie'!$AG$17</f>
        <v>0</v>
      </c>
      <c r="G81" s="562">
        <f>'[1]7.Komunikácie'!$AH$17</f>
        <v>0</v>
      </c>
      <c r="H81" s="560">
        <f t="shared" si="149"/>
        <v>252062.96</v>
      </c>
      <c r="I81" s="561">
        <f>'[2]7.Komunikácie'!$AI$17</f>
        <v>252062.96</v>
      </c>
      <c r="J81" s="561">
        <f>'[2]7.Komunikácie'!$AJ$17</f>
        <v>0</v>
      </c>
      <c r="K81" s="562">
        <f>'[2]7.Komunikácie'!$AK$17</f>
        <v>0</v>
      </c>
      <c r="L81" s="261">
        <f t="shared" si="150"/>
        <v>200000</v>
      </c>
      <c r="M81" s="259">
        <f>'[3]7.Komunikácie'!$AI$17</f>
        <v>200000</v>
      </c>
      <c r="N81" s="259">
        <f>'[3]7.Komunikácie'!$AJ$17</f>
        <v>0</v>
      </c>
      <c r="O81" s="356">
        <f>'[3]7.Komunikácie'!$AK$17</f>
        <v>0</v>
      </c>
      <c r="P81" s="261">
        <f t="shared" si="151"/>
        <v>200000</v>
      </c>
      <c r="Q81" s="259">
        <f>'[4]7.Komunikácie'!$AL$17</f>
        <v>200000</v>
      </c>
      <c r="R81" s="259">
        <f>'[4]7.Komunikácie'!$AM$17</f>
        <v>0</v>
      </c>
      <c r="S81" s="259">
        <f>'[4]7.Komunikácie'!$AN$17</f>
        <v>0</v>
      </c>
      <c r="T81" s="261">
        <f t="shared" si="152"/>
        <v>122798.77</v>
      </c>
      <c r="U81" s="259">
        <f>'[4]7.Komunikácie'!$AO$17</f>
        <v>122798.77</v>
      </c>
      <c r="V81" s="259">
        <f>'[4]7.Komunikácie'!$AP$17</f>
        <v>0</v>
      </c>
      <c r="W81" s="259">
        <f>'[4]7.Komunikácie'!$AQ$17</f>
        <v>0</v>
      </c>
      <c r="X81" s="261">
        <f t="shared" si="153"/>
        <v>-20000</v>
      </c>
      <c r="Y81" s="259">
        <f>'[4]7.Komunikácie'!$AR$17</f>
        <v>-20000</v>
      </c>
      <c r="Z81" s="259">
        <f>'[4]7.Komunikácie'!$AS$17</f>
        <v>0</v>
      </c>
      <c r="AA81" s="259">
        <f>'[4]7.Komunikácie'!$AT$17</f>
        <v>0</v>
      </c>
      <c r="AB81" s="261">
        <f t="shared" si="154"/>
        <v>180000</v>
      </c>
      <c r="AC81" s="259">
        <f>'[4]7.Komunikácie'!$AU$17</f>
        <v>180000</v>
      </c>
      <c r="AD81" s="259">
        <f>'[4]7.Komunikácie'!$AV$17</f>
        <v>0</v>
      </c>
      <c r="AE81" s="260">
        <f>'[4]7.Komunikácie'!$AW$17</f>
        <v>0</v>
      </c>
    </row>
    <row r="82" spans="2:31" ht="15.75" x14ac:dyDescent="0.25">
      <c r="B82" s="273">
        <v>5</v>
      </c>
      <c r="C82" s="274" t="s">
        <v>249</v>
      </c>
      <c r="D82" s="560">
        <f t="shared" si="148"/>
        <v>69385.840000000011</v>
      </c>
      <c r="E82" s="561">
        <f>'[1]7.Komunikácie'!$AF$19</f>
        <v>69385.840000000011</v>
      </c>
      <c r="F82" s="561">
        <f>'[1]7.Komunikácie'!$AG$19</f>
        <v>0</v>
      </c>
      <c r="G82" s="562">
        <f>'[1]7.Komunikácie'!$AH$19</f>
        <v>0</v>
      </c>
      <c r="H82" s="560">
        <f t="shared" si="149"/>
        <v>78182.260000000009</v>
      </c>
      <c r="I82" s="561">
        <f>'[2]7.Komunikácie'!$AI$19</f>
        <v>78182.260000000009</v>
      </c>
      <c r="J82" s="561">
        <f>'[2]7.Komunikácie'!$AJ$19</f>
        <v>0</v>
      </c>
      <c r="K82" s="562">
        <f>'[2]7.Komunikácie'!$AK$19</f>
        <v>0</v>
      </c>
      <c r="L82" s="261">
        <f t="shared" si="150"/>
        <v>93100</v>
      </c>
      <c r="M82" s="259">
        <f>'[3]7.Komunikácie'!$AI$19</f>
        <v>93100</v>
      </c>
      <c r="N82" s="259">
        <f>'[3]7.Komunikácie'!$AJ$19</f>
        <v>0</v>
      </c>
      <c r="O82" s="356">
        <f>'[3]7.Komunikácie'!$AK$19</f>
        <v>0</v>
      </c>
      <c r="P82" s="261">
        <f t="shared" si="151"/>
        <v>93100</v>
      </c>
      <c r="Q82" s="259">
        <f>'[4]7.Komunikácie'!$AL$19</f>
        <v>93100</v>
      </c>
      <c r="R82" s="259">
        <f>'[4]7.Komunikácie'!$AM$19</f>
        <v>0</v>
      </c>
      <c r="S82" s="259">
        <f>'[4]7.Komunikácie'!$AN$19</f>
        <v>0</v>
      </c>
      <c r="T82" s="261">
        <f t="shared" si="152"/>
        <v>28080.67</v>
      </c>
      <c r="U82" s="259">
        <f>'[4]7.Komunikácie'!$AO$19</f>
        <v>28080.67</v>
      </c>
      <c r="V82" s="259">
        <f>'[4]7.Komunikácie'!$AP$19</f>
        <v>0</v>
      </c>
      <c r="W82" s="259">
        <f>'[4]7.Komunikácie'!$AQ$19</f>
        <v>0</v>
      </c>
      <c r="X82" s="261">
        <f t="shared" si="153"/>
        <v>0</v>
      </c>
      <c r="Y82" s="259">
        <f>'[4]7.Komunikácie'!$AR$19</f>
        <v>0</v>
      </c>
      <c r="Z82" s="259">
        <f>'[4]7.Komunikácie'!$AS$19</f>
        <v>0</v>
      </c>
      <c r="AA82" s="259">
        <f>'[4]7.Komunikácie'!$AT$19</f>
        <v>0</v>
      </c>
      <c r="AB82" s="261">
        <f t="shared" si="154"/>
        <v>93100</v>
      </c>
      <c r="AC82" s="259">
        <f>'[4]7.Komunikácie'!$AU$19</f>
        <v>93100</v>
      </c>
      <c r="AD82" s="259">
        <f>'[4]7.Komunikácie'!$AV$19</f>
        <v>0</v>
      </c>
      <c r="AE82" s="260">
        <f>'[4]7.Komunikácie'!$AW$19</f>
        <v>0</v>
      </c>
    </row>
    <row r="83" spans="2:31" ht="15.75" x14ac:dyDescent="0.25">
      <c r="B83" s="273">
        <v>6</v>
      </c>
      <c r="C83" s="274" t="s">
        <v>250</v>
      </c>
      <c r="D83" s="560">
        <f t="shared" si="148"/>
        <v>12474.08</v>
      </c>
      <c r="E83" s="561">
        <f>'[1]7.Komunikácie'!$AF$26</f>
        <v>12474.08</v>
      </c>
      <c r="F83" s="561">
        <f>'[1]7.Komunikácie'!$AG$26</f>
        <v>0</v>
      </c>
      <c r="G83" s="562">
        <f>'[1]7.Komunikácie'!$AH$26</f>
        <v>0</v>
      </c>
      <c r="H83" s="560">
        <f t="shared" si="149"/>
        <v>0</v>
      </c>
      <c r="I83" s="561">
        <f>'[2]7.Komunikácie'!$AI$26</f>
        <v>0</v>
      </c>
      <c r="J83" s="561">
        <f>'[2]7.Komunikácie'!$AJ$26</f>
        <v>0</v>
      </c>
      <c r="K83" s="562">
        <f>'[2]7.Komunikácie'!$AK$26</f>
        <v>0</v>
      </c>
      <c r="L83" s="261">
        <f t="shared" si="150"/>
        <v>30000</v>
      </c>
      <c r="M83" s="259">
        <f>'[3]7.Komunikácie'!$AI$26</f>
        <v>30000</v>
      </c>
      <c r="N83" s="259">
        <f>'[3]7.Komunikácie'!$AJ$26</f>
        <v>0</v>
      </c>
      <c r="O83" s="356">
        <f>'[3]7.Komunikácie'!$AK$26</f>
        <v>0</v>
      </c>
      <c r="P83" s="261">
        <f t="shared" si="151"/>
        <v>30000</v>
      </c>
      <c r="Q83" s="259">
        <f>'[4]7.Komunikácie'!$AL$26</f>
        <v>30000</v>
      </c>
      <c r="R83" s="259">
        <f>'[4]7.Komunikácie'!$AM$26</f>
        <v>0</v>
      </c>
      <c r="S83" s="259">
        <f>'[4]7.Komunikácie'!$AN$26</f>
        <v>0</v>
      </c>
      <c r="T83" s="261">
        <f t="shared" si="152"/>
        <v>0</v>
      </c>
      <c r="U83" s="259">
        <f>'[4]7.Komunikácie'!$AO$26</f>
        <v>0</v>
      </c>
      <c r="V83" s="259">
        <f>'[4]7.Komunikácie'!$AP$26</f>
        <v>0</v>
      </c>
      <c r="W83" s="259">
        <f>'[4]7.Komunikácie'!$AQ$26</f>
        <v>0</v>
      </c>
      <c r="X83" s="261">
        <f t="shared" si="153"/>
        <v>0</v>
      </c>
      <c r="Y83" s="259">
        <f>'[4]7.Komunikácie'!$AR$26</f>
        <v>0</v>
      </c>
      <c r="Z83" s="259">
        <f>'[4]7.Komunikácie'!$AS$26</f>
        <v>0</v>
      </c>
      <c r="AA83" s="259">
        <f>'[4]7.Komunikácie'!$AT$26</f>
        <v>0</v>
      </c>
      <c r="AB83" s="261">
        <f t="shared" si="154"/>
        <v>30000</v>
      </c>
      <c r="AC83" s="259">
        <f>'[4]7.Komunikácie'!$AU$26</f>
        <v>30000</v>
      </c>
      <c r="AD83" s="259">
        <f>'[4]7.Komunikácie'!$AV$26</f>
        <v>0</v>
      </c>
      <c r="AE83" s="260">
        <f>'[4]7.Komunikácie'!$AW$26</f>
        <v>0</v>
      </c>
    </row>
    <row r="84" spans="2:31" ht="15.75" x14ac:dyDescent="0.25">
      <c r="B84" s="273">
        <v>7</v>
      </c>
      <c r="C84" s="274" t="s">
        <v>251</v>
      </c>
      <c r="D84" s="560">
        <f t="shared" si="148"/>
        <v>2598.15</v>
      </c>
      <c r="E84" s="561">
        <f>'[1]7.Komunikácie'!$AF$28</f>
        <v>2598.15</v>
      </c>
      <c r="F84" s="561">
        <f>'[1]7.Komunikácie'!$AG$28</f>
        <v>0</v>
      </c>
      <c r="G84" s="562">
        <f>'[1]7.Komunikácie'!$AH$28</f>
        <v>0</v>
      </c>
      <c r="H84" s="560">
        <f t="shared" si="149"/>
        <v>6693.33</v>
      </c>
      <c r="I84" s="561">
        <f>'[2]7.Komunikácie'!$AI$28</f>
        <v>6693.33</v>
      </c>
      <c r="J84" s="561">
        <f>'[2]7.Komunikácie'!$AJ$28</f>
        <v>0</v>
      </c>
      <c r="K84" s="562">
        <f>'[2]7.Komunikácie'!$AK$28</f>
        <v>0</v>
      </c>
      <c r="L84" s="261">
        <f t="shared" si="150"/>
        <v>10000</v>
      </c>
      <c r="M84" s="259">
        <f>'[3]7.Komunikácie'!$AI$28</f>
        <v>10000</v>
      </c>
      <c r="N84" s="259">
        <f>'[3]7.Komunikácie'!$AJ$28</f>
        <v>0</v>
      </c>
      <c r="O84" s="356">
        <f>'[3]7.Komunikácie'!$AK$28</f>
        <v>0</v>
      </c>
      <c r="P84" s="261">
        <f t="shared" si="151"/>
        <v>10000</v>
      </c>
      <c r="Q84" s="259">
        <f>'[4]7.Komunikácie'!$AL$28</f>
        <v>10000</v>
      </c>
      <c r="R84" s="259">
        <f>'[4]7.Komunikácie'!$AM$28</f>
        <v>0</v>
      </c>
      <c r="S84" s="259">
        <f>'[4]7.Komunikácie'!$AN$28</f>
        <v>0</v>
      </c>
      <c r="T84" s="261">
        <f t="shared" si="152"/>
        <v>0</v>
      </c>
      <c r="U84" s="259">
        <f>'[4]7.Komunikácie'!$AO$28</f>
        <v>0</v>
      </c>
      <c r="V84" s="259">
        <f>'[4]7.Komunikácie'!$AP$28</f>
        <v>0</v>
      </c>
      <c r="W84" s="259">
        <f>'[4]7.Komunikácie'!$AQ$28</f>
        <v>0</v>
      </c>
      <c r="X84" s="261">
        <f t="shared" si="153"/>
        <v>0</v>
      </c>
      <c r="Y84" s="259">
        <f>'[4]7.Komunikácie'!$AR$28</f>
        <v>0</v>
      </c>
      <c r="Z84" s="259">
        <f>'[4]7.Komunikácie'!$AS$28</f>
        <v>0</v>
      </c>
      <c r="AA84" s="259">
        <f>'[4]7.Komunikácie'!$AT$28</f>
        <v>0</v>
      </c>
      <c r="AB84" s="261">
        <f t="shared" si="154"/>
        <v>10000</v>
      </c>
      <c r="AC84" s="259">
        <f>'[4]7.Komunikácie'!$AU$28</f>
        <v>10000</v>
      </c>
      <c r="AD84" s="259">
        <f>'[4]7.Komunikácie'!$AV$28</f>
        <v>0</v>
      </c>
      <c r="AE84" s="260">
        <f>'[4]7.Komunikácie'!$AW$28</f>
        <v>0</v>
      </c>
    </row>
    <row r="85" spans="2:31" ht="15.75" x14ac:dyDescent="0.25">
      <c r="B85" s="285" t="s">
        <v>252</v>
      </c>
      <c r="C85" s="274" t="s">
        <v>253</v>
      </c>
      <c r="D85" s="560">
        <f t="shared" ref="D85:G85" si="155">SUM(D86:D87)</f>
        <v>36119.06</v>
      </c>
      <c r="E85" s="561">
        <f t="shared" si="155"/>
        <v>36119.06</v>
      </c>
      <c r="F85" s="561">
        <f t="shared" si="155"/>
        <v>0</v>
      </c>
      <c r="G85" s="562">
        <f t="shared" si="155"/>
        <v>0</v>
      </c>
      <c r="H85" s="560">
        <f t="shared" ref="H85:K85" si="156">SUM(H86:H87)</f>
        <v>1687659.0799999998</v>
      </c>
      <c r="I85" s="561">
        <f t="shared" si="156"/>
        <v>20959.400000000001</v>
      </c>
      <c r="J85" s="561">
        <f t="shared" si="156"/>
        <v>1666699.68</v>
      </c>
      <c r="K85" s="562">
        <f t="shared" si="156"/>
        <v>0</v>
      </c>
      <c r="L85" s="261">
        <f t="shared" ref="L85:S85" si="157">SUM(L86:L87)</f>
        <v>2430000</v>
      </c>
      <c r="M85" s="259">
        <f t="shared" si="157"/>
        <v>10000</v>
      </c>
      <c r="N85" s="259">
        <f t="shared" si="157"/>
        <v>2420000</v>
      </c>
      <c r="O85" s="356">
        <f t="shared" si="157"/>
        <v>0</v>
      </c>
      <c r="P85" s="261">
        <f t="shared" si="157"/>
        <v>2614375</v>
      </c>
      <c r="Q85" s="259">
        <f t="shared" si="157"/>
        <v>10375</v>
      </c>
      <c r="R85" s="259">
        <f t="shared" si="157"/>
        <v>2604000</v>
      </c>
      <c r="S85" s="356">
        <f t="shared" si="157"/>
        <v>0</v>
      </c>
      <c r="T85" s="261">
        <f t="shared" ref="T85:W85" si="158">SUM(T86:T87)</f>
        <v>184129.14</v>
      </c>
      <c r="U85" s="259">
        <f t="shared" si="158"/>
        <v>374.32</v>
      </c>
      <c r="V85" s="259">
        <f t="shared" si="158"/>
        <v>183754.82</v>
      </c>
      <c r="W85" s="356">
        <f t="shared" si="158"/>
        <v>0</v>
      </c>
      <c r="X85" s="261">
        <f t="shared" ref="X85:AE85" si="159">SUM(X86:X87)</f>
        <v>-341000</v>
      </c>
      <c r="Y85" s="259">
        <f t="shared" si="159"/>
        <v>0</v>
      </c>
      <c r="Z85" s="259">
        <f t="shared" si="159"/>
        <v>-341000</v>
      </c>
      <c r="AA85" s="356">
        <f t="shared" si="159"/>
        <v>0</v>
      </c>
      <c r="AB85" s="261">
        <f t="shared" si="159"/>
        <v>2273375</v>
      </c>
      <c r="AC85" s="259">
        <f t="shared" si="159"/>
        <v>10375</v>
      </c>
      <c r="AD85" s="259">
        <f t="shared" si="159"/>
        <v>2263000</v>
      </c>
      <c r="AE85" s="356">
        <f t="shared" si="159"/>
        <v>0</v>
      </c>
    </row>
    <row r="86" spans="2:31" ht="15.75" x14ac:dyDescent="0.25">
      <c r="B86" s="273">
        <v>1</v>
      </c>
      <c r="C86" s="274" t="s">
        <v>254</v>
      </c>
      <c r="D86" s="560">
        <f>SUM(E86:G86)</f>
        <v>0</v>
      </c>
      <c r="E86" s="561">
        <f>'[1]7.Komunikácie'!$AF$31</f>
        <v>0</v>
      </c>
      <c r="F86" s="561">
        <f>'[1]7.Komunikácie'!$AG$31</f>
        <v>0</v>
      </c>
      <c r="G86" s="562">
        <f>'[1]7.Komunikácie'!$AH$31</f>
        <v>0</v>
      </c>
      <c r="H86" s="560">
        <f>SUM(I86:K86)</f>
        <v>0</v>
      </c>
      <c r="I86" s="561">
        <f>'[2]7.Komunikácie'!$AI$31</f>
        <v>0</v>
      </c>
      <c r="J86" s="561">
        <f>'[2]7.Komunikácie'!$AJ$31</f>
        <v>0</v>
      </c>
      <c r="K86" s="562">
        <f>'[2]7.Komunikácie'!$AK$31</f>
        <v>0</v>
      </c>
      <c r="L86" s="261">
        <f>SUM(M86:O86)</f>
        <v>20000</v>
      </c>
      <c r="M86" s="259">
        <f>'[3]7.Komunikácie'!$AI$31</f>
        <v>0</v>
      </c>
      <c r="N86" s="259">
        <f>'[3]7.Komunikácie'!$AJ$31</f>
        <v>20000</v>
      </c>
      <c r="O86" s="356">
        <f>'[3]7.Komunikácie'!$AK$31</f>
        <v>0</v>
      </c>
      <c r="P86" s="261">
        <f>SUM(Q86:S86)</f>
        <v>20375</v>
      </c>
      <c r="Q86" s="259">
        <f>'[4]7.Komunikácie'!$AL$31</f>
        <v>375</v>
      </c>
      <c r="R86" s="259">
        <f>'[4]7.Komunikácie'!$AM$31</f>
        <v>20000</v>
      </c>
      <c r="S86" s="259">
        <f>'[4]7.Komunikácie'!$AN$31</f>
        <v>0</v>
      </c>
      <c r="T86" s="261">
        <f>SUM(U86:W86)</f>
        <v>374.32</v>
      </c>
      <c r="U86" s="259">
        <f>'[4]7.Komunikácie'!$AO$31</f>
        <v>374.32</v>
      </c>
      <c r="V86" s="259">
        <f>'[4]7.Komunikácie'!$AP$31</f>
        <v>0</v>
      </c>
      <c r="W86" s="259">
        <f>'[4]7.Komunikácie'!$AQ$31</f>
        <v>0</v>
      </c>
      <c r="X86" s="261">
        <f>SUM(Y86:AA86)</f>
        <v>9000</v>
      </c>
      <c r="Y86" s="259">
        <f>'[4]7.Komunikácie'!$AR$31</f>
        <v>0</v>
      </c>
      <c r="Z86" s="259">
        <f>'[4]7.Komunikácie'!$AS$31</f>
        <v>9000</v>
      </c>
      <c r="AA86" s="259">
        <f>'[4]7.Komunikácie'!$AT$31</f>
        <v>0</v>
      </c>
      <c r="AB86" s="261">
        <f>SUM(AC86:AE86)</f>
        <v>29375</v>
      </c>
      <c r="AC86" s="259">
        <f>'[4]7.Komunikácie'!$AU$31</f>
        <v>375</v>
      </c>
      <c r="AD86" s="259">
        <f>'[4]7.Komunikácie'!$AV$31</f>
        <v>29000</v>
      </c>
      <c r="AE86" s="260">
        <f>'[4]7.Komunikácie'!$AW$31</f>
        <v>0</v>
      </c>
    </row>
    <row r="87" spans="2:31" ht="15.75" x14ac:dyDescent="0.25">
      <c r="B87" s="273">
        <v>2</v>
      </c>
      <c r="C87" s="274" t="s">
        <v>255</v>
      </c>
      <c r="D87" s="560">
        <f>SUM(E87:G87)</f>
        <v>36119.06</v>
      </c>
      <c r="E87" s="561">
        <f>'[1]7.Komunikácie'!$AF$33</f>
        <v>36119.06</v>
      </c>
      <c r="F87" s="561">
        <f>'[1]7.Komunikácie'!$AG$33</f>
        <v>0</v>
      </c>
      <c r="G87" s="562">
        <f>'[1]7.Komunikácie'!$AH$33</f>
        <v>0</v>
      </c>
      <c r="H87" s="560">
        <f>SUM(I87:K87)</f>
        <v>1687659.0799999998</v>
      </c>
      <c r="I87" s="561">
        <f>'[2]7.Komunikácie'!$AI$33</f>
        <v>20959.400000000001</v>
      </c>
      <c r="J87" s="561">
        <f>'[2]7.Komunikácie'!$AJ$33</f>
        <v>1666699.68</v>
      </c>
      <c r="K87" s="562">
        <f>'[2]7.Komunikácie'!$AK$33</f>
        <v>0</v>
      </c>
      <c r="L87" s="261">
        <f>SUM(M87:O87)</f>
        <v>2410000</v>
      </c>
      <c r="M87" s="259">
        <f>'[3]7.Komunikácie'!$AI$33</f>
        <v>10000</v>
      </c>
      <c r="N87" s="259">
        <f>'[3]7.Komunikácie'!$AJ$33</f>
        <v>2400000</v>
      </c>
      <c r="O87" s="356">
        <f>'[3]7.Komunikácie'!$AK$33</f>
        <v>0</v>
      </c>
      <c r="P87" s="261">
        <f>SUM(Q87:S87)</f>
        <v>2594000</v>
      </c>
      <c r="Q87" s="259">
        <f>'[4]7.Komunikácie'!$AL$33</f>
        <v>10000</v>
      </c>
      <c r="R87" s="259">
        <f>'[4]7.Komunikácie'!$AM$33</f>
        <v>2584000</v>
      </c>
      <c r="S87" s="259">
        <f>'[4]7.Komunikácie'!$AN$33</f>
        <v>0</v>
      </c>
      <c r="T87" s="261">
        <f>SUM(U87:W87)</f>
        <v>183754.82</v>
      </c>
      <c r="U87" s="259">
        <f>'[4]7.Komunikácie'!$AO$33</f>
        <v>0</v>
      </c>
      <c r="V87" s="259">
        <f>'[4]7.Komunikácie'!$AP$33</f>
        <v>183754.82</v>
      </c>
      <c r="W87" s="259">
        <f>'[4]7.Komunikácie'!$AQ$33</f>
        <v>0</v>
      </c>
      <c r="X87" s="261">
        <f>SUM(Y87:AA87)</f>
        <v>-350000</v>
      </c>
      <c r="Y87" s="259">
        <f>'[4]7.Komunikácie'!$AR$33</f>
        <v>0</v>
      </c>
      <c r="Z87" s="259">
        <f>'[4]7.Komunikácie'!$AS$33</f>
        <v>-350000</v>
      </c>
      <c r="AA87" s="259">
        <f>'[4]7.Komunikácie'!$AT$33</f>
        <v>0</v>
      </c>
      <c r="AB87" s="261">
        <f>SUM(AC87:AE87)</f>
        <v>2244000</v>
      </c>
      <c r="AC87" s="259">
        <f>'[4]7.Komunikácie'!$AU$33</f>
        <v>10000</v>
      </c>
      <c r="AD87" s="259">
        <f>'[4]7.Komunikácie'!$AV$33</f>
        <v>2234000</v>
      </c>
      <c r="AE87" s="260">
        <f>'[4]7.Komunikácie'!$AW$33</f>
        <v>0</v>
      </c>
    </row>
    <row r="88" spans="2:31" ht="15.75" outlineLevel="1" x14ac:dyDescent="0.25">
      <c r="B88" s="285" t="s">
        <v>256</v>
      </c>
      <c r="C88" s="274" t="s">
        <v>257</v>
      </c>
      <c r="D88" s="560">
        <f t="shared" ref="D88:G88" si="160">SUM(D89:D90)</f>
        <v>12844.2</v>
      </c>
      <c r="E88" s="561">
        <f t="shared" si="160"/>
        <v>5000</v>
      </c>
      <c r="F88" s="561">
        <f t="shared" si="160"/>
        <v>7844.2</v>
      </c>
      <c r="G88" s="562">
        <f t="shared" si="160"/>
        <v>0</v>
      </c>
      <c r="H88" s="560">
        <f t="shared" ref="H88:K88" si="161">SUM(H89:H90)</f>
        <v>27612.58</v>
      </c>
      <c r="I88" s="561">
        <f t="shared" si="161"/>
        <v>15612.7</v>
      </c>
      <c r="J88" s="561">
        <f t="shared" si="161"/>
        <v>11999.88</v>
      </c>
      <c r="K88" s="562">
        <f t="shared" si="161"/>
        <v>0</v>
      </c>
      <c r="L88" s="261">
        <f t="shared" ref="L88:S88" si="162">SUM(L89:L90)</f>
        <v>19000</v>
      </c>
      <c r="M88" s="259">
        <f t="shared" si="162"/>
        <v>19000</v>
      </c>
      <c r="N88" s="259">
        <f t="shared" si="162"/>
        <v>0</v>
      </c>
      <c r="O88" s="356">
        <f t="shared" si="162"/>
        <v>0</v>
      </c>
      <c r="P88" s="261">
        <f t="shared" si="162"/>
        <v>19000</v>
      </c>
      <c r="Q88" s="259">
        <f t="shared" si="162"/>
        <v>19000</v>
      </c>
      <c r="R88" s="259">
        <f>SUM(R89:R90)</f>
        <v>0</v>
      </c>
      <c r="S88" s="356">
        <f t="shared" si="162"/>
        <v>0</v>
      </c>
      <c r="T88" s="261">
        <f t="shared" ref="T88:W88" si="163">SUM(T89:T90)</f>
        <v>6748.74</v>
      </c>
      <c r="U88" s="259">
        <f t="shared" si="163"/>
        <v>6748.74</v>
      </c>
      <c r="V88" s="259">
        <f t="shared" si="163"/>
        <v>0</v>
      </c>
      <c r="W88" s="356">
        <f t="shared" si="163"/>
        <v>0</v>
      </c>
      <c r="X88" s="261">
        <f t="shared" ref="X88:AE88" si="164">SUM(X89:X90)</f>
        <v>2200</v>
      </c>
      <c r="Y88" s="259">
        <f t="shared" si="164"/>
        <v>2200</v>
      </c>
      <c r="Z88" s="259">
        <f t="shared" si="164"/>
        <v>0</v>
      </c>
      <c r="AA88" s="356">
        <f t="shared" si="164"/>
        <v>0</v>
      </c>
      <c r="AB88" s="261">
        <f t="shared" si="164"/>
        <v>21200</v>
      </c>
      <c r="AC88" s="259">
        <f t="shared" si="164"/>
        <v>21200</v>
      </c>
      <c r="AD88" s="259">
        <f t="shared" si="164"/>
        <v>0</v>
      </c>
      <c r="AE88" s="356">
        <f t="shared" si="164"/>
        <v>0</v>
      </c>
    </row>
    <row r="89" spans="2:31" ht="15.75" outlineLevel="1" x14ac:dyDescent="0.25">
      <c r="B89" s="273">
        <v>1</v>
      </c>
      <c r="C89" s="274" t="s">
        <v>258</v>
      </c>
      <c r="D89" s="560">
        <f>SUM(E89:G89)</f>
        <v>12844.2</v>
      </c>
      <c r="E89" s="561">
        <f>'[1]7.Komunikácie'!$AF$36</f>
        <v>5000</v>
      </c>
      <c r="F89" s="561">
        <f>'[1]7.Komunikácie'!$AG$36</f>
        <v>7844.2</v>
      </c>
      <c r="G89" s="562">
        <f>'[1]7.Komunikácie'!$AH$36</f>
        <v>0</v>
      </c>
      <c r="H89" s="560">
        <f>SUM(I89:K89)</f>
        <v>27612.58</v>
      </c>
      <c r="I89" s="561">
        <f>'[2]7.Komunikácie'!$AI$36</f>
        <v>15612.7</v>
      </c>
      <c r="J89" s="561">
        <f>'[2]7.Komunikácie'!$AJ$36</f>
        <v>11999.88</v>
      </c>
      <c r="K89" s="562">
        <f>'[2]7.Komunikácie'!$AK$36</f>
        <v>0</v>
      </c>
      <c r="L89" s="261">
        <f>SUM(M89:O89)</f>
        <v>19000</v>
      </c>
      <c r="M89" s="259">
        <f>'[3]7.Komunikácie'!$AI$36</f>
        <v>19000</v>
      </c>
      <c r="N89" s="259">
        <f>'[3]7.Komunikácie'!$AJ$36</f>
        <v>0</v>
      </c>
      <c r="O89" s="356">
        <f>'[3]7.Komunikácie'!$AK$36</f>
        <v>0</v>
      </c>
      <c r="P89" s="261">
        <f>SUM(Q89:S89)</f>
        <v>19000</v>
      </c>
      <c r="Q89" s="259">
        <f>'[4]7.Komunikácie'!$AL$36</f>
        <v>19000</v>
      </c>
      <c r="R89" s="259">
        <f>'[4]7.Komunikácie'!$AM$36</f>
        <v>0</v>
      </c>
      <c r="S89" s="259">
        <f>'[4]7.Komunikácie'!$AN$36</f>
        <v>0</v>
      </c>
      <c r="T89" s="261">
        <f>SUM(U89:W89)</f>
        <v>6748.74</v>
      </c>
      <c r="U89" s="259">
        <f>'[4]7.Komunikácie'!$AO$36</f>
        <v>6748.74</v>
      </c>
      <c r="V89" s="259">
        <f>'[4]7.Komunikácie'!$AP$36</f>
        <v>0</v>
      </c>
      <c r="W89" s="259">
        <f>'[4]7.Komunikácie'!$AQ$36</f>
        <v>0</v>
      </c>
      <c r="X89" s="261">
        <f>SUM(Y89:AA89)</f>
        <v>2200</v>
      </c>
      <c r="Y89" s="259">
        <f>'[4]7.Komunikácie'!$AR$36</f>
        <v>2200</v>
      </c>
      <c r="Z89" s="259">
        <f>'[4]7.Komunikácie'!$AS$36</f>
        <v>0</v>
      </c>
      <c r="AA89" s="259">
        <f>'[4]7.Komunikácie'!$AT$36</f>
        <v>0</v>
      </c>
      <c r="AB89" s="261">
        <f>SUM(AC89:AE89)</f>
        <v>21200</v>
      </c>
      <c r="AC89" s="259">
        <f>'[4]7.Komunikácie'!$AU$36</f>
        <v>21200</v>
      </c>
      <c r="AD89" s="259">
        <f>'[4]7.Komunikácie'!$AV$36</f>
        <v>0</v>
      </c>
      <c r="AE89" s="260">
        <f>'[4]7.Komunikácie'!$AW$36</f>
        <v>0</v>
      </c>
    </row>
    <row r="90" spans="2:31" ht="16.5" outlineLevel="1" thickBot="1" x14ac:dyDescent="0.3">
      <c r="B90" s="275">
        <v>2</v>
      </c>
      <c r="C90" s="276" t="s">
        <v>259</v>
      </c>
      <c r="D90" s="563">
        <f>SUM(E90:G90)</f>
        <v>0</v>
      </c>
      <c r="E90" s="564">
        <f>'[1]7.Komunikácie'!$AF$39</f>
        <v>0</v>
      </c>
      <c r="F90" s="564">
        <f>'[1]7.Komunikácie'!$AG$39</f>
        <v>0</v>
      </c>
      <c r="G90" s="565">
        <f>'[1]7.Komunikácie'!$AH$39</f>
        <v>0</v>
      </c>
      <c r="H90" s="563">
        <f>SUM(I90:K90)</f>
        <v>0</v>
      </c>
      <c r="I90" s="564">
        <f>'[2]7.Komunikácie'!$AI$39</f>
        <v>0</v>
      </c>
      <c r="J90" s="564">
        <f>'[2]7.Komunikácie'!$AJ$39</f>
        <v>0</v>
      </c>
      <c r="K90" s="565">
        <f>'[2]7.Komunikácie'!$AK$39</f>
        <v>0</v>
      </c>
      <c r="L90" s="269">
        <f>SUM(M90:O90)</f>
        <v>0</v>
      </c>
      <c r="M90" s="270">
        <f>'[3]7.Komunikácie'!$AI$39</f>
        <v>0</v>
      </c>
      <c r="N90" s="270">
        <f>'[3]7.Komunikácie'!$AJ$39</f>
        <v>0</v>
      </c>
      <c r="O90" s="641">
        <f>'[3]7.Komunikácie'!$AK$39</f>
        <v>0</v>
      </c>
      <c r="P90" s="269">
        <f>SUM(Q90:S90)</f>
        <v>0</v>
      </c>
      <c r="Q90" s="270">
        <f>'[4]7.Komunikácie'!$AL$39</f>
        <v>0</v>
      </c>
      <c r="R90" s="270">
        <f>'[4]7.Komunikácie'!$AM$39</f>
        <v>0</v>
      </c>
      <c r="S90" s="270">
        <f>'[4]7.Komunikácie'!$AN$39</f>
        <v>0</v>
      </c>
      <c r="T90" s="269">
        <f>SUM(U90:W90)</f>
        <v>0</v>
      </c>
      <c r="U90" s="270">
        <f>'[4]7.Komunikácie'!$AO$39</f>
        <v>0</v>
      </c>
      <c r="V90" s="270">
        <f>'[4]7.Komunikácie'!$AP$39</f>
        <v>0</v>
      </c>
      <c r="W90" s="270">
        <f>'[4]7.Komunikácie'!$AQ$39</f>
        <v>0</v>
      </c>
      <c r="X90" s="269">
        <f>SUM(Y90:AA90)</f>
        <v>0</v>
      </c>
      <c r="Y90" s="270">
        <f>'[4]7.Komunikácie'!$AR$39</f>
        <v>0</v>
      </c>
      <c r="Z90" s="270">
        <f>'[4]7.Komunikácie'!$AS$39</f>
        <v>0</v>
      </c>
      <c r="AA90" s="270">
        <f>'[4]7.Komunikácie'!$AT$39</f>
        <v>0</v>
      </c>
      <c r="AB90" s="269">
        <f>SUM(AC90:AE90)</f>
        <v>0</v>
      </c>
      <c r="AC90" s="270">
        <f>'[4]7.Komunikácie'!$AU$39</f>
        <v>0</v>
      </c>
      <c r="AD90" s="270">
        <f>'[4]7.Komunikácie'!$AV$39</f>
        <v>0</v>
      </c>
      <c r="AE90" s="303">
        <f>'[4]7.Komunikácie'!$AW$39</f>
        <v>0</v>
      </c>
    </row>
    <row r="91" spans="2:31" s="123" customFormat="1" ht="15.75" x14ac:dyDescent="0.25">
      <c r="B91" s="277" t="s">
        <v>260</v>
      </c>
      <c r="C91" s="278"/>
      <c r="D91" s="557">
        <f t="shared" ref="D91:G91" si="165">D92+D93</f>
        <v>167129.76999999999</v>
      </c>
      <c r="E91" s="558">
        <f t="shared" si="165"/>
        <v>167129.76999999999</v>
      </c>
      <c r="F91" s="558">
        <f t="shared" si="165"/>
        <v>0</v>
      </c>
      <c r="G91" s="559">
        <f t="shared" si="165"/>
        <v>0</v>
      </c>
      <c r="H91" s="557">
        <f t="shared" ref="H91:K91" si="166">H92+H93</f>
        <v>188464</v>
      </c>
      <c r="I91" s="558">
        <f t="shared" si="166"/>
        <v>188464</v>
      </c>
      <c r="J91" s="558">
        <f t="shared" si="166"/>
        <v>0</v>
      </c>
      <c r="K91" s="559">
        <f t="shared" si="166"/>
        <v>0</v>
      </c>
      <c r="L91" s="267">
        <f t="shared" ref="L91:S91" si="167">L92+L93</f>
        <v>195000</v>
      </c>
      <c r="M91" s="268">
        <f t="shared" si="167"/>
        <v>195000</v>
      </c>
      <c r="N91" s="268">
        <f t="shared" si="167"/>
        <v>0</v>
      </c>
      <c r="O91" s="355">
        <f t="shared" si="167"/>
        <v>0</v>
      </c>
      <c r="P91" s="267">
        <f t="shared" si="167"/>
        <v>282000</v>
      </c>
      <c r="Q91" s="268">
        <f t="shared" si="167"/>
        <v>282000</v>
      </c>
      <c r="R91" s="268">
        <f t="shared" si="167"/>
        <v>0</v>
      </c>
      <c r="S91" s="355">
        <f t="shared" si="167"/>
        <v>0</v>
      </c>
      <c r="T91" s="267">
        <f t="shared" ref="T91:W91" si="168">T92+T93</f>
        <v>100000</v>
      </c>
      <c r="U91" s="268">
        <f t="shared" si="168"/>
        <v>100000</v>
      </c>
      <c r="V91" s="268">
        <f t="shared" si="168"/>
        <v>0</v>
      </c>
      <c r="W91" s="355">
        <f t="shared" si="168"/>
        <v>0</v>
      </c>
      <c r="X91" s="267">
        <f t="shared" ref="X91:AE91" si="169">X92+X93</f>
        <v>0</v>
      </c>
      <c r="Y91" s="268">
        <f t="shared" si="169"/>
        <v>0</v>
      </c>
      <c r="Z91" s="268">
        <f t="shared" si="169"/>
        <v>0</v>
      </c>
      <c r="AA91" s="355">
        <f t="shared" si="169"/>
        <v>0</v>
      </c>
      <c r="AB91" s="267">
        <f t="shared" si="169"/>
        <v>282000</v>
      </c>
      <c r="AC91" s="268">
        <f t="shared" si="169"/>
        <v>282000</v>
      </c>
      <c r="AD91" s="268">
        <f t="shared" si="169"/>
        <v>0</v>
      </c>
      <c r="AE91" s="355">
        <f t="shared" si="169"/>
        <v>0</v>
      </c>
    </row>
    <row r="92" spans="2:31" ht="15.75" x14ac:dyDescent="0.25">
      <c r="B92" s="285" t="s">
        <v>261</v>
      </c>
      <c r="C92" s="274" t="s">
        <v>262</v>
      </c>
      <c r="D92" s="560">
        <f>SUM(E92:G92)</f>
        <v>166429.76999999999</v>
      </c>
      <c r="E92" s="561">
        <f>'[1]8.Doprava'!$AF$4</f>
        <v>166429.76999999999</v>
      </c>
      <c r="F92" s="561">
        <f>'[1]8.Doprava'!$AG$4</f>
        <v>0</v>
      </c>
      <c r="G92" s="562">
        <f>'[1]8.Doprava'!$AH$4</f>
        <v>0</v>
      </c>
      <c r="H92" s="560">
        <f>SUM(I92:K92)</f>
        <v>188464</v>
      </c>
      <c r="I92" s="561">
        <f>'[2]8.Doprava'!$AI$4</f>
        <v>188464</v>
      </c>
      <c r="J92" s="561">
        <f>'[2]8.Doprava'!$AJ$4</f>
        <v>0</v>
      </c>
      <c r="K92" s="562">
        <f>'[2]8.Doprava'!$AK$4</f>
        <v>0</v>
      </c>
      <c r="L92" s="261">
        <f>SUM(M92:O92)</f>
        <v>190000</v>
      </c>
      <c r="M92" s="259">
        <f>'[3]8.Doprava'!$AI$4</f>
        <v>190000</v>
      </c>
      <c r="N92" s="259">
        <f>'[3]8.Doprava'!$AJ$4</f>
        <v>0</v>
      </c>
      <c r="O92" s="356">
        <f>'[3]8.Doprava'!$AK$4</f>
        <v>0</v>
      </c>
      <c r="P92" s="261">
        <f>SUM(Q92:S92)</f>
        <v>282000</v>
      </c>
      <c r="Q92" s="259">
        <f>'[4]8.Doprava'!$AL$4</f>
        <v>282000</v>
      </c>
      <c r="R92" s="259">
        <f>'[4]8.Doprava'!$AM$4</f>
        <v>0</v>
      </c>
      <c r="S92" s="259">
        <f>'[4]8.Doprava'!$AN$4</f>
        <v>0</v>
      </c>
      <c r="T92" s="261">
        <f>SUM(U92:W92)</f>
        <v>100000</v>
      </c>
      <c r="U92" s="259">
        <f>'[4]8.Doprava'!$AO$4</f>
        <v>100000</v>
      </c>
      <c r="V92" s="259">
        <f>'[4]8.Doprava'!$AP$4</f>
        <v>0</v>
      </c>
      <c r="W92" s="259">
        <f>'[4]8.Doprava'!$AQ$4</f>
        <v>0</v>
      </c>
      <c r="X92" s="261">
        <f>SUM(Y92:AA92)</f>
        <v>0</v>
      </c>
      <c r="Y92" s="259">
        <f>'[4]8.Doprava'!$AR$4</f>
        <v>0</v>
      </c>
      <c r="Z92" s="259">
        <f>'[4]8.Doprava'!$AS$4</f>
        <v>0</v>
      </c>
      <c r="AA92" s="259">
        <f>'[4]8.Doprava'!$AT$4</f>
        <v>0</v>
      </c>
      <c r="AB92" s="261">
        <f>SUM(AC92:AE92)</f>
        <v>282000</v>
      </c>
      <c r="AC92" s="259">
        <f>'[4]8.Doprava'!$AU$4</f>
        <v>282000</v>
      </c>
      <c r="AD92" s="259">
        <f>'[4]8.Doprava'!$AV$4</f>
        <v>0</v>
      </c>
      <c r="AE92" s="260">
        <f>'[4]8.Doprava'!$AW$4</f>
        <v>0</v>
      </c>
    </row>
    <row r="93" spans="2:31" ht="15.75" x14ac:dyDescent="0.25">
      <c r="B93" s="285" t="s">
        <v>263</v>
      </c>
      <c r="C93" s="274" t="s">
        <v>264</v>
      </c>
      <c r="D93" s="560">
        <f>SUM(D94)</f>
        <v>700</v>
      </c>
      <c r="E93" s="561">
        <f t="shared" ref="E93:AE93" si="170">SUM(E94)</f>
        <v>700</v>
      </c>
      <c r="F93" s="561">
        <f t="shared" si="170"/>
        <v>0</v>
      </c>
      <c r="G93" s="562">
        <f t="shared" si="170"/>
        <v>0</v>
      </c>
      <c r="H93" s="560">
        <f>SUM(H94)</f>
        <v>0</v>
      </c>
      <c r="I93" s="561">
        <f t="shared" si="170"/>
        <v>0</v>
      </c>
      <c r="J93" s="561">
        <f t="shared" si="170"/>
        <v>0</v>
      </c>
      <c r="K93" s="562">
        <f t="shared" si="170"/>
        <v>0</v>
      </c>
      <c r="L93" s="261">
        <f>SUM(L94)</f>
        <v>5000</v>
      </c>
      <c r="M93" s="259">
        <f t="shared" si="170"/>
        <v>5000</v>
      </c>
      <c r="N93" s="259">
        <f t="shared" si="170"/>
        <v>0</v>
      </c>
      <c r="O93" s="356">
        <f t="shared" si="170"/>
        <v>0</v>
      </c>
      <c r="P93" s="261">
        <f>SUM(P94)</f>
        <v>0</v>
      </c>
      <c r="Q93" s="259">
        <f t="shared" si="170"/>
        <v>0</v>
      </c>
      <c r="R93" s="259">
        <f t="shared" si="170"/>
        <v>0</v>
      </c>
      <c r="S93" s="356">
        <f t="shared" si="170"/>
        <v>0</v>
      </c>
      <c r="T93" s="261">
        <f>SUM(T94)</f>
        <v>0</v>
      </c>
      <c r="U93" s="259">
        <f t="shared" si="170"/>
        <v>0</v>
      </c>
      <c r="V93" s="259">
        <f t="shared" si="170"/>
        <v>0</v>
      </c>
      <c r="W93" s="356">
        <f t="shared" si="170"/>
        <v>0</v>
      </c>
      <c r="X93" s="261">
        <f>SUM(X94)</f>
        <v>0</v>
      </c>
      <c r="Y93" s="259">
        <f t="shared" si="170"/>
        <v>0</v>
      </c>
      <c r="Z93" s="259">
        <f t="shared" si="170"/>
        <v>0</v>
      </c>
      <c r="AA93" s="356">
        <f t="shared" si="170"/>
        <v>0</v>
      </c>
      <c r="AB93" s="261">
        <f>SUM(AB94)</f>
        <v>0</v>
      </c>
      <c r="AC93" s="259">
        <f t="shared" si="170"/>
        <v>0</v>
      </c>
      <c r="AD93" s="259">
        <f t="shared" si="170"/>
        <v>0</v>
      </c>
      <c r="AE93" s="356">
        <f t="shared" si="170"/>
        <v>0</v>
      </c>
    </row>
    <row r="94" spans="2:31" ht="16.5" thickBot="1" x14ac:dyDescent="0.3">
      <c r="B94" s="275">
        <v>1</v>
      </c>
      <c r="C94" s="276" t="s">
        <v>265</v>
      </c>
      <c r="D94" s="563">
        <f>SUM(E94:G94)</f>
        <v>700</v>
      </c>
      <c r="E94" s="564">
        <f>'[1]8.Doprava'!$AF$7</f>
        <v>700</v>
      </c>
      <c r="F94" s="564">
        <f>'[1]8.Doprava'!$AG$7</f>
        <v>0</v>
      </c>
      <c r="G94" s="565">
        <f>'[1]8.Doprava'!$AH$7</f>
        <v>0</v>
      </c>
      <c r="H94" s="563">
        <f>SUM(I94:K94)</f>
        <v>0</v>
      </c>
      <c r="I94" s="564">
        <f>'[2]8.Doprava'!$AI$7</f>
        <v>0</v>
      </c>
      <c r="J94" s="564">
        <f>'[2]8.Doprava'!$AJ$7</f>
        <v>0</v>
      </c>
      <c r="K94" s="565">
        <f>'[2]8.Doprava'!$AK$7</f>
        <v>0</v>
      </c>
      <c r="L94" s="269">
        <f>SUM(M94:O94)</f>
        <v>5000</v>
      </c>
      <c r="M94" s="270">
        <f>'[3]8.Doprava'!$AI$7</f>
        <v>5000</v>
      </c>
      <c r="N94" s="270">
        <f>'[3]8.Doprava'!$AJ$7</f>
        <v>0</v>
      </c>
      <c r="O94" s="641">
        <f>'[3]8.Doprava'!$AK$7</f>
        <v>0</v>
      </c>
      <c r="P94" s="269">
        <f>SUM(Q94:S94)</f>
        <v>0</v>
      </c>
      <c r="Q94" s="270">
        <f>'[4]8.Doprava'!$AL$6</f>
        <v>0</v>
      </c>
      <c r="R94" s="270">
        <f>'[4]8.Doprava'!$AM$6</f>
        <v>0</v>
      </c>
      <c r="S94" s="270">
        <f>'[4]8.Doprava'!$AN$6</f>
        <v>0</v>
      </c>
      <c r="T94" s="269">
        <f>SUM(U94:W94)</f>
        <v>0</v>
      </c>
      <c r="U94" s="270">
        <f>'[4]8.Doprava'!$AO$6</f>
        <v>0</v>
      </c>
      <c r="V94" s="270">
        <f>'[4]8.Doprava'!$AP$6</f>
        <v>0</v>
      </c>
      <c r="W94" s="270">
        <f>'[4]8.Doprava'!$AQ$6</f>
        <v>0</v>
      </c>
      <c r="X94" s="269">
        <f>SUM(Y94:AA94)</f>
        <v>0</v>
      </c>
      <c r="Y94" s="270">
        <f>'[4]8.Doprava'!$AR$6</f>
        <v>0</v>
      </c>
      <c r="Z94" s="270">
        <f>'[4]8.Doprava'!$AS$6</f>
        <v>0</v>
      </c>
      <c r="AA94" s="270">
        <f>'[4]8.Doprava'!$AT$6</f>
        <v>0</v>
      </c>
      <c r="AB94" s="269">
        <f>SUM(AC94:AE94)</f>
        <v>0</v>
      </c>
      <c r="AC94" s="270">
        <f>'[4]8.Doprava'!$AU$6</f>
        <v>0</v>
      </c>
      <c r="AD94" s="270">
        <f>'[4]8.Doprava'!$AV$6</f>
        <v>0</v>
      </c>
      <c r="AE94" s="303">
        <f>'[4]8.Doprava'!$AW$6</f>
        <v>0</v>
      </c>
    </row>
    <row r="95" spans="2:31" s="123" customFormat="1" ht="15.75" x14ac:dyDescent="0.25">
      <c r="B95" s="277" t="s">
        <v>266</v>
      </c>
      <c r="C95" s="278"/>
      <c r="D95" s="557">
        <f t="shared" ref="D95:G95" si="171">D96+D97+D106+D113+D116+D117+D118+D119</f>
        <v>14587370.26</v>
      </c>
      <c r="E95" s="558">
        <f t="shared" si="171"/>
        <v>14116481.27</v>
      </c>
      <c r="F95" s="558">
        <f t="shared" si="171"/>
        <v>470888.99</v>
      </c>
      <c r="G95" s="559">
        <f t="shared" si="171"/>
        <v>0</v>
      </c>
      <c r="H95" s="557">
        <f t="shared" ref="H95:K95" si="172">H96+H97+H106+H113+H116+H117+H118+H119</f>
        <v>15833437.330000002</v>
      </c>
      <c r="I95" s="558">
        <f t="shared" si="172"/>
        <v>14863714.48</v>
      </c>
      <c r="J95" s="558">
        <f t="shared" si="172"/>
        <v>969722.85</v>
      </c>
      <c r="K95" s="559">
        <f t="shared" si="172"/>
        <v>0</v>
      </c>
      <c r="L95" s="267">
        <f t="shared" ref="L95:S95" si="173">L96+L97+L106+L113+L116+L117+L118+L119</f>
        <v>17511845</v>
      </c>
      <c r="M95" s="268">
        <f t="shared" si="173"/>
        <v>16543845</v>
      </c>
      <c r="N95" s="268">
        <f t="shared" si="173"/>
        <v>968000</v>
      </c>
      <c r="O95" s="355">
        <f t="shared" si="173"/>
        <v>0</v>
      </c>
      <c r="P95" s="267">
        <f t="shared" si="173"/>
        <v>18453623</v>
      </c>
      <c r="Q95" s="268">
        <f t="shared" si="173"/>
        <v>16897478</v>
      </c>
      <c r="R95" s="268">
        <f t="shared" si="173"/>
        <v>1556145</v>
      </c>
      <c r="S95" s="355">
        <f t="shared" si="173"/>
        <v>0</v>
      </c>
      <c r="T95" s="267">
        <f t="shared" ref="T95:W95" si="174">T96+T97+T106+T113+T116+T117+T118+T119</f>
        <v>5860674.4100000001</v>
      </c>
      <c r="U95" s="268">
        <f t="shared" si="174"/>
        <v>5755662.4100000001</v>
      </c>
      <c r="V95" s="268">
        <f t="shared" si="174"/>
        <v>105012</v>
      </c>
      <c r="W95" s="355">
        <f t="shared" si="174"/>
        <v>0</v>
      </c>
      <c r="X95" s="267">
        <f t="shared" ref="X95:AE95" si="175">X96+X97+X106+X113+X116+X117+X118+X119</f>
        <v>27851</v>
      </c>
      <c r="Y95" s="268">
        <f t="shared" si="175"/>
        <v>45251</v>
      </c>
      <c r="Z95" s="268">
        <f t="shared" si="175"/>
        <v>-17400</v>
      </c>
      <c r="AA95" s="355">
        <f t="shared" si="175"/>
        <v>0</v>
      </c>
      <c r="AB95" s="267">
        <f t="shared" si="175"/>
        <v>18481474</v>
      </c>
      <c r="AC95" s="268">
        <f t="shared" si="175"/>
        <v>16942729</v>
      </c>
      <c r="AD95" s="268">
        <f t="shared" si="175"/>
        <v>1538745</v>
      </c>
      <c r="AE95" s="355">
        <f t="shared" si="175"/>
        <v>0</v>
      </c>
    </row>
    <row r="96" spans="2:31" ht="15.75" x14ac:dyDescent="0.25">
      <c r="B96" s="285" t="s">
        <v>267</v>
      </c>
      <c r="C96" s="274" t="s">
        <v>268</v>
      </c>
      <c r="D96" s="560">
        <f>SUM(E96:G96)</f>
        <v>5031.84</v>
      </c>
      <c r="E96" s="561">
        <f>'[1]9. Vzdelávanie'!$AF$4</f>
        <v>5031.84</v>
      </c>
      <c r="F96" s="561">
        <f>'[1]9. Vzdelávanie'!$AG$4</f>
        <v>0</v>
      </c>
      <c r="G96" s="562">
        <f>'[1]9. Vzdelávanie'!$AH$4</f>
        <v>0</v>
      </c>
      <c r="H96" s="560">
        <f>SUM(I96:K96)</f>
        <v>5545.7800000000007</v>
      </c>
      <c r="I96" s="561">
        <f>'[2]9. Vzdelávanie'!$AI$4</f>
        <v>5545.7800000000007</v>
      </c>
      <c r="J96" s="561">
        <f>'[2]9. Vzdelávanie'!$AJ$4</f>
        <v>0</v>
      </c>
      <c r="K96" s="562">
        <f>'[2]9. Vzdelávanie'!$AK$4</f>
        <v>0</v>
      </c>
      <c r="L96" s="261">
        <f>SUM(M96:O96)</f>
        <v>6000</v>
      </c>
      <c r="M96" s="259">
        <f>'[3]9. Vzdelávanie'!$AI$4</f>
        <v>6000</v>
      </c>
      <c r="N96" s="259">
        <f>'[3]9. Vzdelávanie'!$AJ$4</f>
        <v>0</v>
      </c>
      <c r="O96" s="356">
        <f>'[3]9. Vzdelávanie'!$AK$4</f>
        <v>0</v>
      </c>
      <c r="P96" s="261">
        <f>SUM(Q96:S96)</f>
        <v>6000</v>
      </c>
      <c r="Q96" s="259">
        <f>'[4]9. Vzdelávanie'!$AL$4</f>
        <v>6000</v>
      </c>
      <c r="R96" s="259">
        <f>'[4]9. Vzdelávanie'!$AM$4</f>
        <v>0</v>
      </c>
      <c r="S96" s="259">
        <f>'[4]9. Vzdelávanie'!$AN$4</f>
        <v>0</v>
      </c>
      <c r="T96" s="261">
        <f>SUM(U96:W96)</f>
        <v>2959.55</v>
      </c>
      <c r="U96" s="259">
        <f>'[4]9. Vzdelávanie'!$AO$4</f>
        <v>2959.55</v>
      </c>
      <c r="V96" s="259">
        <f>'[4]9. Vzdelávanie'!$AP$4</f>
        <v>0</v>
      </c>
      <c r="W96" s="259">
        <f>'[4]9. Vzdelávanie'!$AQ$4</f>
        <v>0</v>
      </c>
      <c r="X96" s="261">
        <f>SUM(Y96:AA96)</f>
        <v>0</v>
      </c>
      <c r="Y96" s="259">
        <f>'[4]9. Vzdelávanie'!$AR$4</f>
        <v>0</v>
      </c>
      <c r="Z96" s="259">
        <f>'[4]9. Vzdelávanie'!$AS$4</f>
        <v>0</v>
      </c>
      <c r="AA96" s="259">
        <f>'[4]9. Vzdelávanie'!$AT$4</f>
        <v>0</v>
      </c>
      <c r="AB96" s="261">
        <f>SUM(AC96:AE96)</f>
        <v>6000</v>
      </c>
      <c r="AC96" s="259">
        <f>'[4]9. Vzdelávanie'!$AU$4</f>
        <v>6000</v>
      </c>
      <c r="AD96" s="259">
        <f>'[4]9. Vzdelávanie'!$AV$4</f>
        <v>0</v>
      </c>
      <c r="AE96" s="260">
        <f>'[4]9. Vzdelávanie'!$AW$4</f>
        <v>0</v>
      </c>
    </row>
    <row r="97" spans="1:31" ht="15.75" x14ac:dyDescent="0.25">
      <c r="B97" s="285" t="s">
        <v>269</v>
      </c>
      <c r="C97" s="274" t="s">
        <v>270</v>
      </c>
      <c r="D97" s="560">
        <f t="shared" ref="D97:G97" si="176">SUM(D98:D105)</f>
        <v>2628206.9</v>
      </c>
      <c r="E97" s="561">
        <f t="shared" si="176"/>
        <v>2350203.7999999998</v>
      </c>
      <c r="F97" s="561">
        <f t="shared" si="176"/>
        <v>278003.09999999998</v>
      </c>
      <c r="G97" s="562">
        <f t="shared" si="176"/>
        <v>0</v>
      </c>
      <c r="H97" s="560">
        <f t="shared" ref="H97:K97" si="177">SUM(H98:H105)</f>
        <v>2721444.04</v>
      </c>
      <c r="I97" s="561">
        <f t="shared" si="177"/>
        <v>2712443.7600000002</v>
      </c>
      <c r="J97" s="561">
        <f t="shared" si="177"/>
        <v>9000.2800000000007</v>
      </c>
      <c r="K97" s="562">
        <f t="shared" si="177"/>
        <v>0</v>
      </c>
      <c r="L97" s="261">
        <f t="shared" ref="L97:S97" si="178">SUM(L98:L105)</f>
        <v>2904041</v>
      </c>
      <c r="M97" s="259">
        <f t="shared" si="178"/>
        <v>2904041</v>
      </c>
      <c r="N97" s="259">
        <f t="shared" si="178"/>
        <v>0</v>
      </c>
      <c r="O97" s="356">
        <f t="shared" si="178"/>
        <v>0</v>
      </c>
      <c r="P97" s="261">
        <f t="shared" si="178"/>
        <v>3234273</v>
      </c>
      <c r="Q97" s="259">
        <f t="shared" si="178"/>
        <v>3037261</v>
      </c>
      <c r="R97" s="259">
        <f t="shared" si="178"/>
        <v>197012</v>
      </c>
      <c r="S97" s="356">
        <f t="shared" si="178"/>
        <v>0</v>
      </c>
      <c r="T97" s="261">
        <f t="shared" ref="T97:W97" si="179">SUM(T98:T105)</f>
        <v>1025500</v>
      </c>
      <c r="U97" s="259">
        <f t="shared" si="179"/>
        <v>1012488</v>
      </c>
      <c r="V97" s="259">
        <f t="shared" si="179"/>
        <v>13012</v>
      </c>
      <c r="W97" s="356">
        <f t="shared" si="179"/>
        <v>0</v>
      </c>
      <c r="X97" s="261">
        <f t="shared" ref="X97:AE97" si="180">SUM(X98:X105)</f>
        <v>13661</v>
      </c>
      <c r="Y97" s="259">
        <f t="shared" si="180"/>
        <v>13661</v>
      </c>
      <c r="Z97" s="259">
        <f t="shared" si="180"/>
        <v>0</v>
      </c>
      <c r="AA97" s="356">
        <f t="shared" si="180"/>
        <v>0</v>
      </c>
      <c r="AB97" s="261">
        <f t="shared" si="180"/>
        <v>3247934</v>
      </c>
      <c r="AC97" s="259">
        <f t="shared" si="180"/>
        <v>3050922</v>
      </c>
      <c r="AD97" s="259">
        <f t="shared" si="180"/>
        <v>197012</v>
      </c>
      <c r="AE97" s="356">
        <f t="shared" si="180"/>
        <v>0</v>
      </c>
    </row>
    <row r="98" spans="1:31" ht="15.75" x14ac:dyDescent="0.25">
      <c r="B98" s="273">
        <v>1</v>
      </c>
      <c r="C98" s="274" t="s">
        <v>271</v>
      </c>
      <c r="D98" s="560">
        <f>SUM(E98:G98)</f>
        <v>500780.36</v>
      </c>
      <c r="E98" s="561">
        <f>'[1]9. Vzdelávanie'!$AF$20</f>
        <v>262474</v>
      </c>
      <c r="F98" s="561">
        <f>'[1]9. Vzdelávanie'!$AG$20</f>
        <v>238306.36</v>
      </c>
      <c r="G98" s="562">
        <f>'[1]9. Vzdelávanie'!$AH$20</f>
        <v>0</v>
      </c>
      <c r="H98" s="560">
        <f>SUM(I98:K98)</f>
        <v>309408.90000000002</v>
      </c>
      <c r="I98" s="561">
        <f>'[2]9. Vzdelávanie'!$AI$20</f>
        <v>307255</v>
      </c>
      <c r="J98" s="561">
        <f>'[2]9. Vzdelávanie'!$AJ$20</f>
        <v>2153.9</v>
      </c>
      <c r="K98" s="562">
        <f>'[2]9. Vzdelávanie'!$AK$20</f>
        <v>0</v>
      </c>
      <c r="L98" s="261">
        <f>SUM(M98:O98)</f>
        <v>347493</v>
      </c>
      <c r="M98" s="259">
        <f>'[3]9. Vzdelávanie'!$AI$20</f>
        <v>347493</v>
      </c>
      <c r="N98" s="259">
        <f>'[3]9. Vzdelávanie'!$AJ$20</f>
        <v>0</v>
      </c>
      <c r="O98" s="356">
        <f>'[3]9. Vzdelávanie'!$AK$20</f>
        <v>0</v>
      </c>
      <c r="P98" s="261">
        <f>SUM(Q98:S98)</f>
        <v>351180</v>
      </c>
      <c r="Q98" s="259">
        <f>'[4]9. Vzdelávanie'!$AL$20</f>
        <v>351180</v>
      </c>
      <c r="R98" s="259">
        <f>'[4]9. Vzdelávanie'!$AM$20</f>
        <v>0</v>
      </c>
      <c r="S98" s="259">
        <f>'[4]9. Vzdelávanie'!$AN$20</f>
        <v>0</v>
      </c>
      <c r="T98" s="261">
        <f>SUM(U98:W98)</f>
        <v>120599</v>
      </c>
      <c r="U98" s="259">
        <f>'[4]9. Vzdelávanie'!$AO$20</f>
        <v>120599</v>
      </c>
      <c r="V98" s="259">
        <f>'[4]9. Vzdelávanie'!$AP$20</f>
        <v>0</v>
      </c>
      <c r="W98" s="259">
        <f>'[4]9. Vzdelávanie'!$AQ$20</f>
        <v>0</v>
      </c>
      <c r="X98" s="261">
        <f>SUM(Y98:AA98)</f>
        <v>0</v>
      </c>
      <c r="Y98" s="259">
        <f>'[4]9. Vzdelávanie'!$AR$20</f>
        <v>0</v>
      </c>
      <c r="Z98" s="259">
        <f>'[4]9. Vzdelávanie'!$AS$20</f>
        <v>0</v>
      </c>
      <c r="AA98" s="259">
        <f>'[4]9. Vzdelávanie'!$AT$20</f>
        <v>0</v>
      </c>
      <c r="AB98" s="261">
        <f>SUM(AC98:AE98)</f>
        <v>351180</v>
      </c>
      <c r="AC98" s="259">
        <f>'[4]9. Vzdelávanie'!$AU$20</f>
        <v>351180</v>
      </c>
      <c r="AD98" s="259">
        <f>'[4]9. Vzdelávanie'!$AV$20</f>
        <v>0</v>
      </c>
      <c r="AE98" s="260">
        <f>'[4]9. Vzdelávanie'!$AW$20</f>
        <v>0</v>
      </c>
    </row>
    <row r="99" spans="1:31" ht="15.75" x14ac:dyDescent="0.25">
      <c r="B99" s="273">
        <v>2</v>
      </c>
      <c r="C99" s="274" t="s">
        <v>272</v>
      </c>
      <c r="D99" s="560">
        <f t="shared" ref="D99:D105" si="181">SUM(E99:G99)</f>
        <v>424073.54</v>
      </c>
      <c r="E99" s="561">
        <f>'[1]9. Vzdelávanie'!$AF$21</f>
        <v>398682</v>
      </c>
      <c r="F99" s="561">
        <f>'[1]9. Vzdelávanie'!$AG$21</f>
        <v>25391.54</v>
      </c>
      <c r="G99" s="562">
        <f>'[1]9. Vzdelávanie'!$AH$21</f>
        <v>0</v>
      </c>
      <c r="H99" s="560">
        <f t="shared" ref="H99:H105" si="182">SUM(I99:K99)</f>
        <v>478707</v>
      </c>
      <c r="I99" s="561">
        <f>'[2]9. Vzdelávanie'!$AI$23</f>
        <v>478707</v>
      </c>
      <c r="J99" s="561">
        <f>'[2]9. Vzdelávanie'!$AJ$23</f>
        <v>0</v>
      </c>
      <c r="K99" s="562">
        <f>'[2]9. Vzdelávanie'!$AK$23</f>
        <v>0</v>
      </c>
      <c r="L99" s="261">
        <f t="shared" ref="L99:L105" si="183">SUM(M99:O99)</f>
        <v>477787</v>
      </c>
      <c r="M99" s="259">
        <f>'[3]9. Vzdelávanie'!$AI$23</f>
        <v>477787</v>
      </c>
      <c r="N99" s="259">
        <f>'[3]9. Vzdelávanie'!$AJ$23</f>
        <v>0</v>
      </c>
      <c r="O99" s="356">
        <f>'[3]9. Vzdelávanie'!$AK$23</f>
        <v>0</v>
      </c>
      <c r="P99" s="261">
        <f t="shared" ref="P99:P105" si="184">SUM(Q99:S99)</f>
        <v>519250</v>
      </c>
      <c r="Q99" s="259">
        <f>'[4]9. Vzdelávanie'!$AL$23</f>
        <v>511250</v>
      </c>
      <c r="R99" s="259">
        <f>'[4]9. Vzdelávanie'!$AM$23</f>
        <v>8000</v>
      </c>
      <c r="S99" s="259">
        <f>'[4]9. Vzdelávanie'!$AN$23</f>
        <v>0</v>
      </c>
      <c r="T99" s="261">
        <f t="shared" ref="T99:T105" si="185">SUM(U99:W99)</f>
        <v>167643</v>
      </c>
      <c r="U99" s="259">
        <f>'[4]9. Vzdelávanie'!$AO$23</f>
        <v>167643</v>
      </c>
      <c r="V99" s="259">
        <f>'[4]9. Vzdelávanie'!$AP$23</f>
        <v>0</v>
      </c>
      <c r="W99" s="259">
        <f>'[4]9. Vzdelávanie'!$AQ$23</f>
        <v>0</v>
      </c>
      <c r="X99" s="261">
        <f t="shared" ref="X99:X105" si="186">SUM(Y99:AA99)</f>
        <v>13661</v>
      </c>
      <c r="Y99" s="259">
        <f>'[4]9. Vzdelávanie'!$AR$23</f>
        <v>13661</v>
      </c>
      <c r="Z99" s="259">
        <f>'[4]9. Vzdelávanie'!$AS$23</f>
        <v>0</v>
      </c>
      <c r="AA99" s="259">
        <f>'[4]9. Vzdelávanie'!$AT$23</f>
        <v>0</v>
      </c>
      <c r="AB99" s="261">
        <f t="shared" ref="AB99:AB105" si="187">SUM(AC99:AE99)</f>
        <v>532911</v>
      </c>
      <c r="AC99" s="259">
        <f>'[4]9. Vzdelávanie'!$AU$23</f>
        <v>524911</v>
      </c>
      <c r="AD99" s="259">
        <f>'[4]9. Vzdelávanie'!$AV$23</f>
        <v>8000</v>
      </c>
      <c r="AE99" s="260">
        <f>'[4]9. Vzdelávanie'!$AW$23</f>
        <v>0</v>
      </c>
    </row>
    <row r="100" spans="1:31" ht="15.75" x14ac:dyDescent="0.25">
      <c r="B100" s="273">
        <v>3</v>
      </c>
      <c r="C100" s="274" t="s">
        <v>273</v>
      </c>
      <c r="D100" s="560">
        <f t="shared" si="181"/>
        <v>661475</v>
      </c>
      <c r="E100" s="561">
        <f>'[1]9. Vzdelávanie'!$AF$22</f>
        <v>650169.80000000005</v>
      </c>
      <c r="F100" s="561">
        <f>'[1]9. Vzdelávanie'!$AG$22</f>
        <v>11305.2</v>
      </c>
      <c r="G100" s="562">
        <f>'[1]9. Vzdelávanie'!$AH$22</f>
        <v>0</v>
      </c>
      <c r="H100" s="560">
        <f t="shared" si="182"/>
        <v>737545.6</v>
      </c>
      <c r="I100" s="561">
        <f>'[2]9. Vzdelávanie'!$AI$26</f>
        <v>737545.6</v>
      </c>
      <c r="J100" s="561">
        <f>'[2]9. Vzdelávanie'!$AJ$26</f>
        <v>0</v>
      </c>
      <c r="K100" s="562">
        <f>'[2]9. Vzdelávanie'!$AK$26</f>
        <v>0</v>
      </c>
      <c r="L100" s="261">
        <f t="shared" si="183"/>
        <v>805365</v>
      </c>
      <c r="M100" s="259">
        <f>'[3]9. Vzdelávanie'!$AI$26</f>
        <v>805365</v>
      </c>
      <c r="N100" s="259">
        <f>'[3]9. Vzdelávanie'!$AJ$26</f>
        <v>0</v>
      </c>
      <c r="O100" s="356">
        <f>'[3]9. Vzdelávanie'!$AK$26</f>
        <v>0</v>
      </c>
      <c r="P100" s="261">
        <f t="shared" si="184"/>
        <v>832712</v>
      </c>
      <c r="Q100" s="259">
        <f>'[4]9. Vzdelávanie'!$AL$26</f>
        <v>832712</v>
      </c>
      <c r="R100" s="259">
        <f>'[4]9. Vzdelávanie'!$AM$26</f>
        <v>0</v>
      </c>
      <c r="S100" s="259">
        <f>'[4]9. Vzdelávanie'!$AN$26</f>
        <v>0</v>
      </c>
      <c r="T100" s="261">
        <f t="shared" si="185"/>
        <v>276655</v>
      </c>
      <c r="U100" s="259">
        <f>'[4]9. Vzdelávanie'!$AO$26</f>
        <v>276655</v>
      </c>
      <c r="V100" s="259">
        <f>'[4]9. Vzdelávanie'!$AP$26</f>
        <v>0</v>
      </c>
      <c r="W100" s="259">
        <f>'[4]9. Vzdelávanie'!$AQ$26</f>
        <v>0</v>
      </c>
      <c r="X100" s="261">
        <f t="shared" si="186"/>
        <v>0</v>
      </c>
      <c r="Y100" s="259">
        <f>'[4]9. Vzdelávanie'!$AR$26</f>
        <v>0</v>
      </c>
      <c r="Z100" s="259">
        <f>'[4]9. Vzdelávanie'!$AS$26</f>
        <v>0</v>
      </c>
      <c r="AA100" s="259">
        <f>'[4]9. Vzdelávanie'!$AT$26</f>
        <v>0</v>
      </c>
      <c r="AB100" s="261">
        <f t="shared" si="187"/>
        <v>832712</v>
      </c>
      <c r="AC100" s="259">
        <f>'[4]9. Vzdelávanie'!$AU$26</f>
        <v>832712</v>
      </c>
      <c r="AD100" s="259">
        <f>'[4]9. Vzdelávanie'!$AV$26</f>
        <v>0</v>
      </c>
      <c r="AE100" s="260">
        <f>'[4]9. Vzdelávanie'!$AW$26</f>
        <v>0</v>
      </c>
    </row>
    <row r="101" spans="1:31" ht="15.75" x14ac:dyDescent="0.25">
      <c r="A101" s="102"/>
      <c r="B101" s="273">
        <v>4</v>
      </c>
      <c r="C101" s="274" t="s">
        <v>422</v>
      </c>
      <c r="D101" s="560">
        <f t="shared" si="181"/>
        <v>0</v>
      </c>
      <c r="E101" s="561">
        <f>'[1]9. Vzdelávanie'!$AF$23</f>
        <v>0</v>
      </c>
      <c r="F101" s="561">
        <f>'[1]9. Vzdelávanie'!$AG$23</f>
        <v>0</v>
      </c>
      <c r="G101" s="562">
        <f>'[1]9. Vzdelávanie'!$AH$23</f>
        <v>0</v>
      </c>
      <c r="H101" s="560">
        <f t="shared" si="182"/>
        <v>0</v>
      </c>
      <c r="I101" s="561">
        <f>'[2]9. Vzdelávanie'!$AI$29</f>
        <v>0</v>
      </c>
      <c r="J101" s="561">
        <f>'[2]9. Vzdelávanie'!$AJ$29</f>
        <v>0</v>
      </c>
      <c r="K101" s="562">
        <f>'[2]9. Vzdelávanie'!$AK$29</f>
        <v>0</v>
      </c>
      <c r="L101" s="261">
        <f t="shared" si="183"/>
        <v>0</v>
      </c>
      <c r="M101" s="259">
        <f>'[3]9. Vzdelávanie'!$AI$29</f>
        <v>0</v>
      </c>
      <c r="N101" s="259">
        <f>'[3]9. Vzdelávanie'!$AJ$29</f>
        <v>0</v>
      </c>
      <c r="O101" s="356">
        <f>'[3]9. Vzdelávanie'!$AK$29</f>
        <v>0</v>
      </c>
      <c r="P101" s="261">
        <f t="shared" si="184"/>
        <v>0</v>
      </c>
      <c r="Q101" s="259">
        <f>'[4]9. Vzdelávanie'!$AL$29</f>
        <v>0</v>
      </c>
      <c r="R101" s="259">
        <f>'[4]9. Vzdelávanie'!$AM$29</f>
        <v>0</v>
      </c>
      <c r="S101" s="259">
        <f>'[4]9. Vzdelávanie'!$AN$29</f>
        <v>0</v>
      </c>
      <c r="T101" s="261">
        <f t="shared" si="185"/>
        <v>0</v>
      </c>
      <c r="U101" s="259">
        <f>'[4]9. Vzdelávanie'!$AO$29</f>
        <v>0</v>
      </c>
      <c r="V101" s="259">
        <f>'[4]9. Vzdelávanie'!$AP$29</f>
        <v>0</v>
      </c>
      <c r="W101" s="259">
        <f>'[4]9. Vzdelávanie'!$AQ$29</f>
        <v>0</v>
      </c>
      <c r="X101" s="261">
        <f t="shared" si="186"/>
        <v>0</v>
      </c>
      <c r="Y101" s="259">
        <f>'[4]9. Vzdelávanie'!$AR$29</f>
        <v>0</v>
      </c>
      <c r="Z101" s="259">
        <f>'[4]9. Vzdelávanie'!$AS$29</f>
        <v>0</v>
      </c>
      <c r="AA101" s="259">
        <f>'[4]9. Vzdelávanie'!$AT$29</f>
        <v>0</v>
      </c>
      <c r="AB101" s="261">
        <f t="shared" si="187"/>
        <v>0</v>
      </c>
      <c r="AC101" s="259">
        <f>'[4]9. Vzdelávanie'!$AU$29</f>
        <v>0</v>
      </c>
      <c r="AD101" s="259">
        <f>'[4]9. Vzdelávanie'!$AV$29</f>
        <v>0</v>
      </c>
      <c r="AE101" s="260">
        <f>'[4]9. Vzdelávanie'!$AW$29</f>
        <v>0</v>
      </c>
    </row>
    <row r="102" spans="1:31" ht="15.75" x14ac:dyDescent="0.25">
      <c r="B102" s="273">
        <v>5</v>
      </c>
      <c r="C102" s="274" t="s">
        <v>275</v>
      </c>
      <c r="D102" s="560">
        <f t="shared" si="181"/>
        <v>296705</v>
      </c>
      <c r="E102" s="561">
        <f>'[1]9. Vzdelávanie'!$AF$24</f>
        <v>296705</v>
      </c>
      <c r="F102" s="561">
        <f>'[1]9. Vzdelávanie'!$AG$24</f>
        <v>0</v>
      </c>
      <c r="G102" s="562">
        <f>'[1]9. Vzdelávanie'!$AH$24</f>
        <v>0</v>
      </c>
      <c r="H102" s="560">
        <f t="shared" si="182"/>
        <v>375935.69</v>
      </c>
      <c r="I102" s="561">
        <f>'[2]9. Vzdelávanie'!$AI$30</f>
        <v>373116.08</v>
      </c>
      <c r="J102" s="561">
        <f>'[2]9. Vzdelávanie'!$AJ$30</f>
        <v>2819.61</v>
      </c>
      <c r="K102" s="562">
        <f>'[2]9. Vzdelávanie'!$AK$30</f>
        <v>0</v>
      </c>
      <c r="L102" s="261">
        <f t="shared" si="183"/>
        <v>401956</v>
      </c>
      <c r="M102" s="259">
        <f>'[3]9. Vzdelávanie'!$AI$30</f>
        <v>401956</v>
      </c>
      <c r="N102" s="259">
        <f>'[3]9. Vzdelávanie'!$AJ$30</f>
        <v>0</v>
      </c>
      <c r="O102" s="356">
        <f>'[3]9. Vzdelávanie'!$AK$30</f>
        <v>0</v>
      </c>
      <c r="P102" s="261">
        <f t="shared" si="184"/>
        <v>544865</v>
      </c>
      <c r="Q102" s="259">
        <f>'[4]9. Vzdelávanie'!$AL$30</f>
        <v>426865</v>
      </c>
      <c r="R102" s="259">
        <f>'[4]9. Vzdelávanie'!$AM$30</f>
        <v>118000</v>
      </c>
      <c r="S102" s="259">
        <f>'[4]9. Vzdelávanie'!$AN$30</f>
        <v>0</v>
      </c>
      <c r="T102" s="261">
        <f t="shared" si="185"/>
        <v>145833</v>
      </c>
      <c r="U102" s="259">
        <f>'[4]9. Vzdelávanie'!$AO$30</f>
        <v>145833</v>
      </c>
      <c r="V102" s="259">
        <f>'[4]9. Vzdelávanie'!$AP$30</f>
        <v>0</v>
      </c>
      <c r="W102" s="259">
        <f>'[4]9. Vzdelávanie'!$AQ$30</f>
        <v>0</v>
      </c>
      <c r="X102" s="261">
        <f t="shared" si="186"/>
        <v>0</v>
      </c>
      <c r="Y102" s="259">
        <f>'[4]9. Vzdelávanie'!$AR$30</f>
        <v>0</v>
      </c>
      <c r="Z102" s="259">
        <f>'[4]9. Vzdelávanie'!$AS$30</f>
        <v>0</v>
      </c>
      <c r="AA102" s="259">
        <f>'[4]9. Vzdelávanie'!$AT$30</f>
        <v>0</v>
      </c>
      <c r="AB102" s="261">
        <f t="shared" si="187"/>
        <v>544865</v>
      </c>
      <c r="AC102" s="259">
        <f>'[4]9. Vzdelávanie'!$AU$30</f>
        <v>426865</v>
      </c>
      <c r="AD102" s="259">
        <f>'[4]9. Vzdelávanie'!$AV$30</f>
        <v>118000</v>
      </c>
      <c r="AE102" s="260">
        <f>'[4]9. Vzdelávanie'!$AW$30</f>
        <v>0</v>
      </c>
    </row>
    <row r="103" spans="1:31" ht="15.75" x14ac:dyDescent="0.25">
      <c r="B103" s="273">
        <v>6</v>
      </c>
      <c r="C103" s="274" t="s">
        <v>276</v>
      </c>
      <c r="D103" s="560">
        <f t="shared" si="181"/>
        <v>329940</v>
      </c>
      <c r="E103" s="561">
        <f>'[1]9. Vzdelávanie'!$AF$25</f>
        <v>326940</v>
      </c>
      <c r="F103" s="561">
        <f>'[1]9. Vzdelávanie'!$AG$25</f>
        <v>3000</v>
      </c>
      <c r="G103" s="562">
        <f>'[1]9. Vzdelávanie'!$AH$25</f>
        <v>0</v>
      </c>
      <c r="H103" s="560">
        <f t="shared" si="182"/>
        <v>409123.08</v>
      </c>
      <c r="I103" s="561">
        <f>'[2]9. Vzdelávanie'!$AI$33</f>
        <v>409123.08</v>
      </c>
      <c r="J103" s="561">
        <f>'[2]9. Vzdelávanie'!$AJ$33</f>
        <v>0</v>
      </c>
      <c r="K103" s="562">
        <f>'[2]9. Vzdelávanie'!$AK$33</f>
        <v>0</v>
      </c>
      <c r="L103" s="261">
        <f t="shared" si="183"/>
        <v>428649</v>
      </c>
      <c r="M103" s="259">
        <f>'[3]9. Vzdelávanie'!$AI$33</f>
        <v>428649</v>
      </c>
      <c r="N103" s="259">
        <f>'[3]9. Vzdelávanie'!$AJ$33</f>
        <v>0</v>
      </c>
      <c r="O103" s="356">
        <f>'[3]9. Vzdelávanie'!$AK$33</f>
        <v>0</v>
      </c>
      <c r="P103" s="261">
        <f t="shared" si="184"/>
        <v>472049</v>
      </c>
      <c r="Q103" s="259">
        <f>'[4]9. Vzdelávanie'!$AL$33</f>
        <v>459037</v>
      </c>
      <c r="R103" s="259">
        <f>'[4]9. Vzdelávanie'!$AM$33</f>
        <v>13012</v>
      </c>
      <c r="S103" s="259">
        <f>'[4]9. Vzdelávanie'!$AN$33</f>
        <v>0</v>
      </c>
      <c r="T103" s="261">
        <f t="shared" si="185"/>
        <v>162531</v>
      </c>
      <c r="U103" s="259">
        <f>'[4]9. Vzdelávanie'!$AO$33</f>
        <v>149519</v>
      </c>
      <c r="V103" s="259">
        <f>'[4]9. Vzdelávanie'!$AP$33</f>
        <v>13012</v>
      </c>
      <c r="W103" s="259">
        <f>'[4]9. Vzdelávanie'!$AQ$33</f>
        <v>0</v>
      </c>
      <c r="X103" s="261">
        <f t="shared" si="186"/>
        <v>0</v>
      </c>
      <c r="Y103" s="259">
        <f>'[4]9. Vzdelávanie'!$AR$33</f>
        <v>0</v>
      </c>
      <c r="Z103" s="259">
        <f>'[4]9. Vzdelávanie'!$AS$33</f>
        <v>0</v>
      </c>
      <c r="AA103" s="259">
        <f>'[4]9. Vzdelávanie'!$AT$33</f>
        <v>0</v>
      </c>
      <c r="AB103" s="261">
        <f t="shared" si="187"/>
        <v>472049</v>
      </c>
      <c r="AC103" s="259">
        <f>'[4]9. Vzdelávanie'!$AU$33</f>
        <v>459037</v>
      </c>
      <c r="AD103" s="259">
        <f>'[4]9. Vzdelávanie'!$AV$33</f>
        <v>13012</v>
      </c>
      <c r="AE103" s="260">
        <f>'[4]9. Vzdelávanie'!$AW$33</f>
        <v>0</v>
      </c>
    </row>
    <row r="104" spans="1:31" ht="15.75" x14ac:dyDescent="0.25">
      <c r="B104" s="273">
        <v>7</v>
      </c>
      <c r="C104" s="274" t="s">
        <v>277</v>
      </c>
      <c r="D104" s="560">
        <f t="shared" si="181"/>
        <v>327336</v>
      </c>
      <c r="E104" s="561">
        <f>'[1]9. Vzdelávanie'!$AF$26</f>
        <v>327336</v>
      </c>
      <c r="F104" s="561">
        <f>'[1]9. Vzdelávanie'!$AG$26</f>
        <v>0</v>
      </c>
      <c r="G104" s="562">
        <f>'[1]9. Vzdelávanie'!$AH$26</f>
        <v>0</v>
      </c>
      <c r="H104" s="560">
        <f t="shared" si="182"/>
        <v>410723.77</v>
      </c>
      <c r="I104" s="561">
        <f>'[2]9. Vzdelávanie'!$AI$36</f>
        <v>406697</v>
      </c>
      <c r="J104" s="561">
        <f>'[2]9. Vzdelávanie'!$AJ$36</f>
        <v>4026.77</v>
      </c>
      <c r="K104" s="562">
        <f>'[2]9. Vzdelávanie'!$AK$36</f>
        <v>0</v>
      </c>
      <c r="L104" s="261">
        <f t="shared" si="183"/>
        <v>442791</v>
      </c>
      <c r="M104" s="259">
        <f>'[3]9. Vzdelávanie'!$AI$36</f>
        <v>442791</v>
      </c>
      <c r="N104" s="259">
        <f>'[3]9. Vzdelávanie'!$AJ$36</f>
        <v>0</v>
      </c>
      <c r="O104" s="356">
        <f>'[3]9. Vzdelávanie'!$AK$36</f>
        <v>0</v>
      </c>
      <c r="P104" s="261">
        <f t="shared" si="184"/>
        <v>514217</v>
      </c>
      <c r="Q104" s="259">
        <f>'[4]9. Vzdelávanie'!$AL$36</f>
        <v>456217</v>
      </c>
      <c r="R104" s="259">
        <f>'[4]9. Vzdelávanie'!$AM$36</f>
        <v>58000</v>
      </c>
      <c r="S104" s="259">
        <f>'[4]9. Vzdelávanie'!$AN$36</f>
        <v>0</v>
      </c>
      <c r="T104" s="261">
        <f t="shared" si="185"/>
        <v>152239</v>
      </c>
      <c r="U104" s="259">
        <f>'[4]9. Vzdelávanie'!$AO$36</f>
        <v>152239</v>
      </c>
      <c r="V104" s="259">
        <f>'[4]9. Vzdelávanie'!$AP$36</f>
        <v>0</v>
      </c>
      <c r="W104" s="259">
        <f>'[4]9. Vzdelávanie'!$AQ$36</f>
        <v>0</v>
      </c>
      <c r="X104" s="261">
        <f t="shared" si="186"/>
        <v>0</v>
      </c>
      <c r="Y104" s="259">
        <f>'[4]9. Vzdelávanie'!$AR$36</f>
        <v>0</v>
      </c>
      <c r="Z104" s="259">
        <f>'[4]9. Vzdelávanie'!$AS$36</f>
        <v>0</v>
      </c>
      <c r="AA104" s="259">
        <f>'[4]9. Vzdelávanie'!$AT$36</f>
        <v>0</v>
      </c>
      <c r="AB104" s="261">
        <f t="shared" si="187"/>
        <v>514217</v>
      </c>
      <c r="AC104" s="259">
        <f>'[4]9. Vzdelávanie'!$AU$36</f>
        <v>456217</v>
      </c>
      <c r="AD104" s="259">
        <f>'[4]9. Vzdelávanie'!$AV$36</f>
        <v>58000</v>
      </c>
      <c r="AE104" s="260">
        <f>'[4]9. Vzdelávanie'!$AW$36</f>
        <v>0</v>
      </c>
    </row>
    <row r="105" spans="1:31" ht="15.75" x14ac:dyDescent="0.25">
      <c r="B105" s="273">
        <v>8</v>
      </c>
      <c r="C105" s="274" t="s">
        <v>430</v>
      </c>
      <c r="D105" s="560">
        <f t="shared" si="181"/>
        <v>87897</v>
      </c>
      <c r="E105" s="561">
        <f>'[1]9. Vzdelávanie'!$AF$27</f>
        <v>87897</v>
      </c>
      <c r="F105" s="561">
        <f>'[1]9. Vzdelávanie'!$AG$27</f>
        <v>0</v>
      </c>
      <c r="G105" s="562">
        <f>'[1]9. Vzdelávanie'!$AH$27</f>
        <v>0</v>
      </c>
      <c r="H105" s="560">
        <f t="shared" si="182"/>
        <v>0</v>
      </c>
      <c r="I105" s="561">
        <f>'[2]9. Vzdelávanie'!$AI$39</f>
        <v>0</v>
      </c>
      <c r="J105" s="561">
        <f>'[2]9. Vzdelávanie'!$AJ$39</f>
        <v>0</v>
      </c>
      <c r="K105" s="562">
        <f>'[2]9. Vzdelávanie'!$AK$39</f>
        <v>0</v>
      </c>
      <c r="L105" s="261">
        <f t="shared" si="183"/>
        <v>0</v>
      </c>
      <c r="M105" s="259">
        <f>'[3]9. Vzdelávanie'!$AI$39</f>
        <v>0</v>
      </c>
      <c r="N105" s="259">
        <f>'[3]9. Vzdelávanie'!$AJ$39</f>
        <v>0</v>
      </c>
      <c r="O105" s="356">
        <f>'[3]9. Vzdelávanie'!$AK$39</f>
        <v>0</v>
      </c>
      <c r="P105" s="261">
        <f t="shared" si="184"/>
        <v>0</v>
      </c>
      <c r="Q105" s="259">
        <f>'[4]9. Vzdelávanie'!$AL$39</f>
        <v>0</v>
      </c>
      <c r="R105" s="259">
        <f>'[4]9. Vzdelávanie'!$AM$39</f>
        <v>0</v>
      </c>
      <c r="S105" s="259">
        <f>'[4]9. Vzdelávanie'!$AN$39</f>
        <v>0</v>
      </c>
      <c r="T105" s="261">
        <f t="shared" si="185"/>
        <v>0</v>
      </c>
      <c r="U105" s="259">
        <f>'[4]9. Vzdelávanie'!$AO$39</f>
        <v>0</v>
      </c>
      <c r="V105" s="259">
        <f>'[4]9. Vzdelávanie'!$AP$39</f>
        <v>0</v>
      </c>
      <c r="W105" s="259">
        <f>'[4]9. Vzdelávanie'!$AQ$39</f>
        <v>0</v>
      </c>
      <c r="X105" s="261">
        <f t="shared" si="186"/>
        <v>0</v>
      </c>
      <c r="Y105" s="259">
        <f>'[4]9. Vzdelávanie'!$AR$39</f>
        <v>0</v>
      </c>
      <c r="Z105" s="259">
        <f>'[4]9. Vzdelávanie'!$AS$39</f>
        <v>0</v>
      </c>
      <c r="AA105" s="259">
        <f>'[4]9. Vzdelávanie'!$AT$39</f>
        <v>0</v>
      </c>
      <c r="AB105" s="261">
        <f t="shared" si="187"/>
        <v>0</v>
      </c>
      <c r="AC105" s="259">
        <f>'[4]9. Vzdelávanie'!$AU$39</f>
        <v>0</v>
      </c>
      <c r="AD105" s="259">
        <f>'[4]9. Vzdelávanie'!$AV$39</f>
        <v>0</v>
      </c>
      <c r="AE105" s="260">
        <f>'[4]9. Vzdelávanie'!$AW$39</f>
        <v>0</v>
      </c>
    </row>
    <row r="106" spans="1:31" ht="15.75" x14ac:dyDescent="0.25">
      <c r="B106" s="285" t="s">
        <v>278</v>
      </c>
      <c r="C106" s="274" t="s">
        <v>279</v>
      </c>
      <c r="D106" s="560">
        <f t="shared" ref="D106:G106" si="188">SUM(D107:D112)</f>
        <v>7619917.8599999994</v>
      </c>
      <c r="E106" s="561">
        <f t="shared" si="188"/>
        <v>7459464.4900000002</v>
      </c>
      <c r="F106" s="561">
        <f t="shared" si="188"/>
        <v>160453.37</v>
      </c>
      <c r="G106" s="562">
        <f t="shared" si="188"/>
        <v>0</v>
      </c>
      <c r="H106" s="560">
        <f t="shared" ref="H106:K106" si="189">SUM(H107:H112)</f>
        <v>8821771.4800000004</v>
      </c>
      <c r="I106" s="561">
        <f t="shared" si="189"/>
        <v>7881189.5500000007</v>
      </c>
      <c r="J106" s="561">
        <f t="shared" si="189"/>
        <v>940581.92999999993</v>
      </c>
      <c r="K106" s="562">
        <f t="shared" si="189"/>
        <v>0</v>
      </c>
      <c r="L106" s="261">
        <f t="shared" ref="L106:S106" si="190">SUM(L107:L112)</f>
        <v>8878005</v>
      </c>
      <c r="M106" s="259">
        <f t="shared" si="190"/>
        <v>8350005</v>
      </c>
      <c r="N106" s="259">
        <f t="shared" si="190"/>
        <v>528000</v>
      </c>
      <c r="O106" s="356">
        <f t="shared" si="190"/>
        <v>0</v>
      </c>
      <c r="P106" s="261">
        <f t="shared" si="190"/>
        <v>9306561</v>
      </c>
      <c r="Q106" s="259">
        <f t="shared" si="190"/>
        <v>8537561</v>
      </c>
      <c r="R106" s="259">
        <f t="shared" si="190"/>
        <v>769000</v>
      </c>
      <c r="S106" s="356">
        <f t="shared" si="190"/>
        <v>0</v>
      </c>
      <c r="T106" s="261">
        <f t="shared" ref="T106:W106" si="191">SUM(T107:T112)</f>
        <v>2923665</v>
      </c>
      <c r="U106" s="259">
        <f t="shared" si="191"/>
        <v>2831665</v>
      </c>
      <c r="V106" s="259">
        <f t="shared" si="191"/>
        <v>92000</v>
      </c>
      <c r="W106" s="356">
        <f t="shared" si="191"/>
        <v>0</v>
      </c>
      <c r="X106" s="261">
        <f t="shared" ref="X106:AE106" si="192">SUM(X107:X112)</f>
        <v>-10400</v>
      </c>
      <c r="Y106" s="259">
        <f t="shared" si="192"/>
        <v>7000</v>
      </c>
      <c r="Z106" s="259">
        <f t="shared" si="192"/>
        <v>-17400</v>
      </c>
      <c r="AA106" s="356">
        <f t="shared" si="192"/>
        <v>0</v>
      </c>
      <c r="AB106" s="261">
        <f t="shared" si="192"/>
        <v>9296161</v>
      </c>
      <c r="AC106" s="259">
        <f t="shared" si="192"/>
        <v>8544561</v>
      </c>
      <c r="AD106" s="259">
        <f t="shared" si="192"/>
        <v>751600</v>
      </c>
      <c r="AE106" s="356">
        <f t="shared" si="192"/>
        <v>0</v>
      </c>
    </row>
    <row r="107" spans="1:31" ht="15.75" x14ac:dyDescent="0.25">
      <c r="B107" s="273">
        <v>1</v>
      </c>
      <c r="C107" s="274" t="s">
        <v>280</v>
      </c>
      <c r="D107" s="560">
        <f t="shared" ref="D107:D112" si="193">SUM(E107:G107)</f>
        <v>817135.86</v>
      </c>
      <c r="E107" s="561">
        <f>'[1]9. Vzdelávanie'!$AF$29</f>
        <v>737664</v>
      </c>
      <c r="F107" s="561">
        <f>'[1]9. Vzdelávanie'!$AG$29</f>
        <v>79471.86</v>
      </c>
      <c r="G107" s="562">
        <f>'[1]9. Vzdelávanie'!$AH$29</f>
        <v>0</v>
      </c>
      <c r="H107" s="560">
        <f t="shared" ref="H107:H112" si="194">SUM(I107:K107)</f>
        <v>1440163</v>
      </c>
      <c r="I107" s="561">
        <f>'[2]9. Vzdelávanie'!$AI$41</f>
        <v>762291.56</v>
      </c>
      <c r="J107" s="561">
        <f>'[2]9. Vzdelávanie'!$AJ$41</f>
        <v>677871.44</v>
      </c>
      <c r="K107" s="562">
        <f>'[2]9. Vzdelávanie'!$AK$41</f>
        <v>0</v>
      </c>
      <c r="L107" s="261">
        <f t="shared" ref="L107:L112" si="195">SUM(M107:O107)</f>
        <v>809989</v>
      </c>
      <c r="M107" s="259">
        <f>'[3]9. Vzdelávanie'!$AI$41</f>
        <v>809989</v>
      </c>
      <c r="N107" s="259">
        <f>'[3]9. Vzdelávanie'!$AJ$41</f>
        <v>0</v>
      </c>
      <c r="O107" s="356">
        <f>'[3]9. Vzdelávanie'!$AK$41</f>
        <v>0</v>
      </c>
      <c r="P107" s="261">
        <f t="shared" ref="P107:P112" si="196">SUM(Q107:S107)</f>
        <v>798820</v>
      </c>
      <c r="Q107" s="259">
        <f>'[4]9. Vzdelávanie'!$AL$41</f>
        <v>798820</v>
      </c>
      <c r="R107" s="259">
        <f>'[4]9. Vzdelávanie'!$AM$41</f>
        <v>0</v>
      </c>
      <c r="S107" s="259">
        <f>'[4]9. Vzdelávanie'!$AN$41</f>
        <v>0</v>
      </c>
      <c r="T107" s="261">
        <f t="shared" ref="T107:T112" si="197">SUM(U107:W107)</f>
        <v>271283</v>
      </c>
      <c r="U107" s="259">
        <f>'[4]9. Vzdelávanie'!$AO$41</f>
        <v>271283</v>
      </c>
      <c r="V107" s="259">
        <f>'[4]9. Vzdelávanie'!$AP$41</f>
        <v>0</v>
      </c>
      <c r="W107" s="259">
        <f>'[4]9. Vzdelávanie'!$AQ$41</f>
        <v>0</v>
      </c>
      <c r="X107" s="261">
        <f t="shared" ref="X107:X112" si="198">SUM(Y107:AA107)</f>
        <v>0</v>
      </c>
      <c r="Y107" s="259">
        <f>'[4]9. Vzdelávanie'!$AR$41</f>
        <v>0</v>
      </c>
      <c r="Z107" s="259">
        <f>'[4]9. Vzdelávanie'!$AS$41</f>
        <v>0</v>
      </c>
      <c r="AA107" s="259">
        <f>'[4]9. Vzdelávanie'!$AT$41</f>
        <v>0</v>
      </c>
      <c r="AB107" s="261">
        <f t="shared" ref="AB107:AB112" si="199">SUM(AC107:AE107)</f>
        <v>798820</v>
      </c>
      <c r="AC107" s="259">
        <f>'[4]9. Vzdelávanie'!$AU$41</f>
        <v>798820</v>
      </c>
      <c r="AD107" s="259">
        <f>'[4]9. Vzdelávanie'!$AV$41</f>
        <v>0</v>
      </c>
      <c r="AE107" s="260">
        <f>'[4]9. Vzdelávanie'!$AW$41</f>
        <v>0</v>
      </c>
    </row>
    <row r="108" spans="1:31" ht="15.75" x14ac:dyDescent="0.25">
      <c r="B108" s="273">
        <v>2</v>
      </c>
      <c r="C108" s="274" t="s">
        <v>447</v>
      </c>
      <c r="D108" s="560">
        <f t="shared" si="193"/>
        <v>1143621</v>
      </c>
      <c r="E108" s="561">
        <f>'[1]9. Vzdelávanie'!$AF$32</f>
        <v>1143621</v>
      </c>
      <c r="F108" s="561">
        <f>'[1]9. Vzdelávanie'!$AG$32</f>
        <v>0</v>
      </c>
      <c r="G108" s="562">
        <f>'[1]9. Vzdelávanie'!$AH$32</f>
        <v>0</v>
      </c>
      <c r="H108" s="560">
        <f t="shared" si="194"/>
        <v>1185524</v>
      </c>
      <c r="I108" s="561">
        <f>'[2]9. Vzdelávanie'!$AI$45</f>
        <v>1185524</v>
      </c>
      <c r="J108" s="561">
        <f>'[2]9. Vzdelávanie'!$AJ$45</f>
        <v>0</v>
      </c>
      <c r="K108" s="562">
        <f>'[2]9. Vzdelávanie'!$AK$45</f>
        <v>0</v>
      </c>
      <c r="L108" s="261">
        <f t="shared" si="195"/>
        <v>1278597</v>
      </c>
      <c r="M108" s="259">
        <f>'[3]9. Vzdelávanie'!$AI$45</f>
        <v>1278597</v>
      </c>
      <c r="N108" s="259">
        <f>'[3]9. Vzdelávanie'!$AJ$45</f>
        <v>0</v>
      </c>
      <c r="O108" s="356">
        <f>'[3]9. Vzdelávanie'!$AK$45</f>
        <v>0</v>
      </c>
      <c r="P108" s="261">
        <f t="shared" si="196"/>
        <v>1550520</v>
      </c>
      <c r="Q108" s="259">
        <f>'[4]9. Vzdelávanie'!$AL$45</f>
        <v>1309520</v>
      </c>
      <c r="R108" s="259">
        <f>'[4]9. Vzdelávanie'!$AM$45</f>
        <v>241000</v>
      </c>
      <c r="S108" s="259">
        <f>'[4]9. Vzdelávanie'!$AN$45</f>
        <v>0</v>
      </c>
      <c r="T108" s="261">
        <f t="shared" si="197"/>
        <v>431742</v>
      </c>
      <c r="U108" s="259">
        <f>'[4]9. Vzdelávanie'!$AO$45</f>
        <v>431742</v>
      </c>
      <c r="V108" s="259">
        <f>'[4]9. Vzdelávanie'!$AP$45</f>
        <v>0</v>
      </c>
      <c r="W108" s="259">
        <f>'[4]9. Vzdelávanie'!$AQ$45</f>
        <v>0</v>
      </c>
      <c r="X108" s="261">
        <f t="shared" si="198"/>
        <v>0</v>
      </c>
      <c r="Y108" s="259">
        <f>'[4]9. Vzdelávanie'!$AR$45</f>
        <v>0</v>
      </c>
      <c r="Z108" s="259">
        <f>'[4]9. Vzdelávanie'!$AS$45</f>
        <v>0</v>
      </c>
      <c r="AA108" s="259">
        <f>'[4]9. Vzdelávanie'!$AT$45</f>
        <v>0</v>
      </c>
      <c r="AB108" s="261">
        <f t="shared" si="199"/>
        <v>1550520</v>
      </c>
      <c r="AC108" s="259">
        <f>'[4]9. Vzdelávanie'!$AU$45</f>
        <v>1309520</v>
      </c>
      <c r="AD108" s="259">
        <f>'[4]9. Vzdelávanie'!$AV$45</f>
        <v>241000</v>
      </c>
      <c r="AE108" s="260">
        <f>'[4]9. Vzdelávanie'!$AW$45</f>
        <v>0</v>
      </c>
    </row>
    <row r="109" spans="1:31" ht="15.75" x14ac:dyDescent="0.25">
      <c r="A109" s="124"/>
      <c r="B109" s="273">
        <v>3</v>
      </c>
      <c r="C109" s="274" t="s">
        <v>448</v>
      </c>
      <c r="D109" s="560">
        <f t="shared" si="193"/>
        <v>1870783</v>
      </c>
      <c r="E109" s="561">
        <f>'[1]9. Vzdelávanie'!$AF$36</f>
        <v>1870783</v>
      </c>
      <c r="F109" s="561">
        <f>'[1]9. Vzdelávanie'!$AG$36</f>
        <v>0</v>
      </c>
      <c r="G109" s="562">
        <f>'[1]9. Vzdelávanie'!$AH$36</f>
        <v>0</v>
      </c>
      <c r="H109" s="560">
        <f t="shared" si="194"/>
        <v>2270676.7400000002</v>
      </c>
      <c r="I109" s="561">
        <f>'[2]9. Vzdelávanie'!$AI$49</f>
        <v>2007966.25</v>
      </c>
      <c r="J109" s="561">
        <f>'[2]9. Vzdelávanie'!$AJ$49</f>
        <v>262710.49</v>
      </c>
      <c r="K109" s="562">
        <f>'[2]9. Vzdelávanie'!$AK$49</f>
        <v>0</v>
      </c>
      <c r="L109" s="261">
        <f t="shared" si="195"/>
        <v>2262872</v>
      </c>
      <c r="M109" s="259">
        <f>'[3]9. Vzdelávanie'!$AI$49</f>
        <v>2129872</v>
      </c>
      <c r="N109" s="259">
        <f>'[3]9. Vzdelávanie'!$AJ$49</f>
        <v>133000</v>
      </c>
      <c r="O109" s="356">
        <f>'[3]9. Vzdelávanie'!$AK$49</f>
        <v>0</v>
      </c>
      <c r="P109" s="261">
        <f t="shared" si="196"/>
        <v>2300805</v>
      </c>
      <c r="Q109" s="259">
        <f>'[4]9. Vzdelávanie'!$AL$49</f>
        <v>2167805</v>
      </c>
      <c r="R109" s="259">
        <f>'[4]9. Vzdelávanie'!$AM$49</f>
        <v>133000</v>
      </c>
      <c r="S109" s="259">
        <f>'[4]9. Vzdelávanie'!$AN$49</f>
        <v>0</v>
      </c>
      <c r="T109" s="261">
        <f t="shared" si="197"/>
        <v>812564</v>
      </c>
      <c r="U109" s="259">
        <f>'[4]9. Vzdelávanie'!$AO$49</f>
        <v>720564</v>
      </c>
      <c r="V109" s="259">
        <f>'[4]9. Vzdelávanie'!$AP$49</f>
        <v>92000</v>
      </c>
      <c r="W109" s="259">
        <f>'[4]9. Vzdelávanie'!$AQ$49</f>
        <v>0</v>
      </c>
      <c r="X109" s="261">
        <f t="shared" si="198"/>
        <v>0</v>
      </c>
      <c r="Y109" s="259">
        <f>'[4]9. Vzdelávanie'!$AR$49</f>
        <v>0</v>
      </c>
      <c r="Z109" s="259">
        <f>'[4]9. Vzdelávanie'!$AS$49</f>
        <v>0</v>
      </c>
      <c r="AA109" s="259">
        <f>'[4]9. Vzdelávanie'!$AT$49</f>
        <v>0</v>
      </c>
      <c r="AB109" s="261">
        <f t="shared" si="199"/>
        <v>2300805</v>
      </c>
      <c r="AC109" s="259">
        <f>'[4]9. Vzdelávanie'!$AU$49</f>
        <v>2167805</v>
      </c>
      <c r="AD109" s="259">
        <f>'[4]9. Vzdelávanie'!$AV$49</f>
        <v>133000</v>
      </c>
      <c r="AE109" s="260">
        <f>'[4]9. Vzdelávanie'!$AW$49</f>
        <v>0</v>
      </c>
    </row>
    <row r="110" spans="1:31" ht="15.75" x14ac:dyDescent="0.25">
      <c r="A110" s="124"/>
      <c r="B110" s="273">
        <v>4</v>
      </c>
      <c r="C110" s="274" t="s">
        <v>449</v>
      </c>
      <c r="D110" s="560">
        <f t="shared" si="193"/>
        <v>1696163</v>
      </c>
      <c r="E110" s="561">
        <f>'[1]9. Vzdelávanie'!$AF$41</f>
        <v>1696163</v>
      </c>
      <c r="F110" s="561">
        <f>'[1]9. Vzdelávanie'!$AG$41</f>
        <v>0</v>
      </c>
      <c r="G110" s="562">
        <f>'[1]9. Vzdelávanie'!$AH$41</f>
        <v>0</v>
      </c>
      <c r="H110" s="560">
        <f t="shared" si="194"/>
        <v>1734782</v>
      </c>
      <c r="I110" s="561">
        <f>'[2]9. Vzdelávanie'!$AI$54</f>
        <v>1734782</v>
      </c>
      <c r="J110" s="561">
        <f>'[2]9. Vzdelávanie'!$AJ$54</f>
        <v>0</v>
      </c>
      <c r="K110" s="562">
        <f>'[2]9. Vzdelávanie'!$AK$54</f>
        <v>0</v>
      </c>
      <c r="L110" s="261">
        <f t="shared" si="195"/>
        <v>2175213</v>
      </c>
      <c r="M110" s="259">
        <f>'[3]9. Vzdelávanie'!$AI$54</f>
        <v>1780213</v>
      </c>
      <c r="N110" s="259">
        <f>'[3]9. Vzdelávanie'!$AJ$54</f>
        <v>395000</v>
      </c>
      <c r="O110" s="356">
        <f>'[3]9. Vzdelávanie'!$AK$54</f>
        <v>0</v>
      </c>
      <c r="P110" s="261">
        <f t="shared" si="196"/>
        <v>2296382</v>
      </c>
      <c r="Q110" s="259">
        <f>'[4]9. Vzdelávanie'!$AL$54</f>
        <v>1901382</v>
      </c>
      <c r="R110" s="259">
        <f>'[4]9. Vzdelávanie'!$AM$54</f>
        <v>395000</v>
      </c>
      <c r="S110" s="259">
        <f>'[4]9. Vzdelávanie'!$AN$54</f>
        <v>0</v>
      </c>
      <c r="T110" s="261">
        <f t="shared" si="197"/>
        <v>621676</v>
      </c>
      <c r="U110" s="259">
        <f>'[4]9. Vzdelávanie'!$AO$54</f>
        <v>621676</v>
      </c>
      <c r="V110" s="259">
        <f>'[4]9. Vzdelávanie'!$AP$54</f>
        <v>0</v>
      </c>
      <c r="W110" s="259">
        <f>'[4]9. Vzdelávanie'!$AQ$54</f>
        <v>0</v>
      </c>
      <c r="X110" s="261">
        <f t="shared" si="198"/>
        <v>-32400</v>
      </c>
      <c r="Y110" s="259">
        <f>'[4]9. Vzdelávanie'!$AR$54</f>
        <v>-15000</v>
      </c>
      <c r="Z110" s="259">
        <f>'[4]9. Vzdelávanie'!$AS$54</f>
        <v>-17400</v>
      </c>
      <c r="AA110" s="259">
        <f>'[4]9. Vzdelávanie'!$AT$54</f>
        <v>0</v>
      </c>
      <c r="AB110" s="261">
        <f t="shared" si="199"/>
        <v>2263982</v>
      </c>
      <c r="AC110" s="259">
        <f>'[4]9. Vzdelávanie'!$AU$54</f>
        <v>1886382</v>
      </c>
      <c r="AD110" s="259">
        <f>'[4]9. Vzdelávanie'!$AV$54</f>
        <v>377600</v>
      </c>
      <c r="AE110" s="260">
        <f>'[4]9. Vzdelávanie'!$AW$54</f>
        <v>0</v>
      </c>
    </row>
    <row r="111" spans="1:31" ht="15.75" x14ac:dyDescent="0.25">
      <c r="A111" s="124"/>
      <c r="B111" s="273">
        <v>5</v>
      </c>
      <c r="C111" s="274" t="s">
        <v>450</v>
      </c>
      <c r="D111" s="560">
        <f t="shared" si="193"/>
        <v>1350055</v>
      </c>
      <c r="E111" s="561">
        <f>'[1]9. Vzdelávanie'!$AF$44</f>
        <v>1269073.49</v>
      </c>
      <c r="F111" s="561">
        <f>'[1]9. Vzdelávanie'!$AG$44</f>
        <v>80981.509999999995</v>
      </c>
      <c r="G111" s="562">
        <f>'[1]9. Vzdelávanie'!$AH$44</f>
        <v>0</v>
      </c>
      <c r="H111" s="560">
        <f t="shared" si="194"/>
        <v>1410904</v>
      </c>
      <c r="I111" s="561">
        <f>'[2]9. Vzdelávanie'!$AI$57</f>
        <v>1410904</v>
      </c>
      <c r="J111" s="561">
        <f>'[2]9. Vzdelávanie'!$AJ$57</f>
        <v>0</v>
      </c>
      <c r="K111" s="562">
        <f>'[2]9. Vzdelávanie'!$AK$57</f>
        <v>0</v>
      </c>
      <c r="L111" s="261">
        <f t="shared" si="195"/>
        <v>1475051</v>
      </c>
      <c r="M111" s="259">
        <f>'[3]9. Vzdelávanie'!$AI$57</f>
        <v>1475051</v>
      </c>
      <c r="N111" s="259">
        <f>'[3]9. Vzdelávanie'!$AJ$57</f>
        <v>0</v>
      </c>
      <c r="O111" s="356">
        <f>'[3]9. Vzdelávanie'!$AK$57</f>
        <v>0</v>
      </c>
      <c r="P111" s="261">
        <f t="shared" si="196"/>
        <v>1516301</v>
      </c>
      <c r="Q111" s="259">
        <f>'[4]9. Vzdelávanie'!$AL$57</f>
        <v>1516301</v>
      </c>
      <c r="R111" s="259">
        <f>'[4]9. Vzdelávanie'!$AM$57</f>
        <v>0</v>
      </c>
      <c r="S111" s="259">
        <f>'[4]9. Vzdelávanie'!$AN$57</f>
        <v>0</v>
      </c>
      <c r="T111" s="261">
        <f t="shared" si="197"/>
        <v>500665</v>
      </c>
      <c r="U111" s="259">
        <f>'[4]9. Vzdelávanie'!$AO$57</f>
        <v>500665</v>
      </c>
      <c r="V111" s="259">
        <f>'[4]9. Vzdelávanie'!$AP$57</f>
        <v>0</v>
      </c>
      <c r="W111" s="259">
        <f>'[4]9. Vzdelávanie'!$AQ$57</f>
        <v>0</v>
      </c>
      <c r="X111" s="261">
        <f t="shared" si="198"/>
        <v>22000</v>
      </c>
      <c r="Y111" s="259">
        <f>'[4]9. Vzdelávanie'!$AR$57</f>
        <v>22000</v>
      </c>
      <c r="Z111" s="259">
        <f>'[4]9. Vzdelávanie'!$AS$57</f>
        <v>0</v>
      </c>
      <c r="AA111" s="259">
        <f>'[4]9. Vzdelávanie'!$AT$57</f>
        <v>0</v>
      </c>
      <c r="AB111" s="261">
        <f t="shared" si="199"/>
        <v>1538301</v>
      </c>
      <c r="AC111" s="259">
        <f>'[4]9. Vzdelávanie'!$AU$57</f>
        <v>1538301</v>
      </c>
      <c r="AD111" s="259">
        <f>'[4]9. Vzdelávanie'!$AV$57</f>
        <v>0</v>
      </c>
      <c r="AE111" s="260">
        <f>'[4]9. Vzdelávanie'!$AW$57</f>
        <v>0</v>
      </c>
    </row>
    <row r="112" spans="1:31" ht="15.75" x14ac:dyDescent="0.25">
      <c r="A112" s="124"/>
      <c r="B112" s="273">
        <v>6</v>
      </c>
      <c r="C112" s="274" t="s">
        <v>451</v>
      </c>
      <c r="D112" s="560">
        <f t="shared" si="193"/>
        <v>742160</v>
      </c>
      <c r="E112" s="561">
        <f>'[1]9. Vzdelávanie'!$AF$47</f>
        <v>742160</v>
      </c>
      <c r="F112" s="561">
        <f>'[1]9. Vzdelávanie'!$AG$47</f>
        <v>0</v>
      </c>
      <c r="G112" s="562">
        <f>'[1]9. Vzdelávanie'!$AH$47</f>
        <v>0</v>
      </c>
      <c r="H112" s="560">
        <f t="shared" si="194"/>
        <v>779721.74</v>
      </c>
      <c r="I112" s="561">
        <f>'[2]9. Vzdelávanie'!$AI$60</f>
        <v>779721.74</v>
      </c>
      <c r="J112" s="561">
        <f>'[2]9. Vzdelávanie'!$AJ$60</f>
        <v>0</v>
      </c>
      <c r="K112" s="562">
        <f>'[2]9. Vzdelávanie'!$AK$60</f>
        <v>0</v>
      </c>
      <c r="L112" s="261">
        <f t="shared" si="195"/>
        <v>876283</v>
      </c>
      <c r="M112" s="259">
        <f>'[3]9. Vzdelávanie'!$AI$60</f>
        <v>876283</v>
      </c>
      <c r="N112" s="259">
        <f>'[3]9. Vzdelávanie'!$AJ$60</f>
        <v>0</v>
      </c>
      <c r="O112" s="356">
        <f>'[3]9. Vzdelávanie'!$AK$60</f>
        <v>0</v>
      </c>
      <c r="P112" s="261">
        <f t="shared" si="196"/>
        <v>843733</v>
      </c>
      <c r="Q112" s="259">
        <f>'[4]9. Vzdelávanie'!$AL$60</f>
        <v>843733</v>
      </c>
      <c r="R112" s="259">
        <f>'[4]9. Vzdelávanie'!$AM$60</f>
        <v>0</v>
      </c>
      <c r="S112" s="259">
        <f>'[4]9. Vzdelávanie'!$AN$60</f>
        <v>0</v>
      </c>
      <c r="T112" s="261">
        <f t="shared" si="197"/>
        <v>285735</v>
      </c>
      <c r="U112" s="259">
        <f>'[4]9. Vzdelávanie'!$AO$60</f>
        <v>285735</v>
      </c>
      <c r="V112" s="259">
        <f>'[4]9. Vzdelávanie'!$AP$60</f>
        <v>0</v>
      </c>
      <c r="W112" s="259">
        <f>'[4]9. Vzdelávanie'!$AQ$60</f>
        <v>0</v>
      </c>
      <c r="X112" s="261">
        <f t="shared" si="198"/>
        <v>0</v>
      </c>
      <c r="Y112" s="259">
        <f>'[4]9. Vzdelávanie'!$AR$60</f>
        <v>0</v>
      </c>
      <c r="Z112" s="259">
        <f>'[4]9. Vzdelávanie'!$AS$60</f>
        <v>0</v>
      </c>
      <c r="AA112" s="259">
        <f>'[4]9. Vzdelávanie'!$AT$60</f>
        <v>0</v>
      </c>
      <c r="AB112" s="261">
        <f t="shared" si="199"/>
        <v>843733</v>
      </c>
      <c r="AC112" s="259">
        <f>'[4]9. Vzdelávanie'!$AU$60</f>
        <v>843733</v>
      </c>
      <c r="AD112" s="259">
        <f>'[4]9. Vzdelávanie'!$AV$60</f>
        <v>0</v>
      </c>
      <c r="AE112" s="260">
        <f>'[4]9. Vzdelávanie'!$AW$60</f>
        <v>0</v>
      </c>
    </row>
    <row r="113" spans="1:31" ht="15.75" x14ac:dyDescent="0.25">
      <c r="A113" s="124"/>
      <c r="B113" s="285" t="s">
        <v>286</v>
      </c>
      <c r="C113" s="274" t="s">
        <v>287</v>
      </c>
      <c r="D113" s="560">
        <f t="shared" ref="D113:F113" si="200">SUM(D114:D115)</f>
        <v>1089073</v>
      </c>
      <c r="E113" s="561">
        <f t="shared" si="200"/>
        <v>1089073</v>
      </c>
      <c r="F113" s="561">
        <f t="shared" si="200"/>
        <v>0</v>
      </c>
      <c r="G113" s="562">
        <f>SUM(G114:G115)</f>
        <v>0</v>
      </c>
      <c r="H113" s="560">
        <f t="shared" ref="H113:J113" si="201">SUM(H114:H115)</f>
        <v>1054196.55</v>
      </c>
      <c r="I113" s="561">
        <f t="shared" si="201"/>
        <v>1054196.55</v>
      </c>
      <c r="J113" s="561">
        <f t="shared" si="201"/>
        <v>0</v>
      </c>
      <c r="K113" s="562">
        <f>SUM(K114:K115)</f>
        <v>0</v>
      </c>
      <c r="L113" s="261">
        <f t="shared" ref="L113:N113" si="202">SUM(L114:L115)</f>
        <v>1090900</v>
      </c>
      <c r="M113" s="259">
        <f t="shared" si="202"/>
        <v>1090900</v>
      </c>
      <c r="N113" s="259">
        <f t="shared" si="202"/>
        <v>0</v>
      </c>
      <c r="O113" s="356">
        <f>SUM(O114:O115)</f>
        <v>0</v>
      </c>
      <c r="P113" s="261">
        <f t="shared" ref="P113:R113" si="203">SUM(P114:P115)</f>
        <v>1138900</v>
      </c>
      <c r="Q113" s="259">
        <f t="shared" si="203"/>
        <v>1085900</v>
      </c>
      <c r="R113" s="259">
        <f t="shared" si="203"/>
        <v>53000</v>
      </c>
      <c r="S113" s="356">
        <f>SUM(S114:S115)</f>
        <v>0</v>
      </c>
      <c r="T113" s="261">
        <f t="shared" ref="T113:V113" si="204">SUM(T114:T115)</f>
        <v>381601</v>
      </c>
      <c r="U113" s="259">
        <f t="shared" si="204"/>
        <v>381601</v>
      </c>
      <c r="V113" s="259">
        <f t="shared" si="204"/>
        <v>0</v>
      </c>
      <c r="W113" s="356">
        <f>SUM(W114:W115)</f>
        <v>0</v>
      </c>
      <c r="X113" s="261">
        <f t="shared" ref="X113:Z113" si="205">SUM(X114:X115)</f>
        <v>-7000</v>
      </c>
      <c r="Y113" s="259">
        <f t="shared" si="205"/>
        <v>-7000</v>
      </c>
      <c r="Z113" s="259">
        <f t="shared" si="205"/>
        <v>0</v>
      </c>
      <c r="AA113" s="356">
        <f>SUM(AA114:AA115)</f>
        <v>0</v>
      </c>
      <c r="AB113" s="261">
        <f t="shared" ref="AB113:AD113" si="206">SUM(AB114:AB115)</f>
        <v>1131900</v>
      </c>
      <c r="AC113" s="259">
        <f t="shared" si="206"/>
        <v>1078900</v>
      </c>
      <c r="AD113" s="259">
        <f t="shared" si="206"/>
        <v>53000</v>
      </c>
      <c r="AE113" s="356">
        <f>SUM(AE114:AE115)</f>
        <v>0</v>
      </c>
    </row>
    <row r="114" spans="1:31" ht="15.75" x14ac:dyDescent="0.25">
      <c r="A114" s="124"/>
      <c r="B114" s="273">
        <v>1</v>
      </c>
      <c r="C114" s="274" t="s">
        <v>288</v>
      </c>
      <c r="D114" s="560">
        <f t="shared" ref="D114:D119" si="207">SUM(E114:G114)</f>
        <v>768648</v>
      </c>
      <c r="E114" s="561">
        <f>'[1]9. Vzdelávanie'!$AF$51</f>
        <v>768648</v>
      </c>
      <c r="F114" s="561">
        <f>'[1]9. Vzdelávanie'!$AG$51</f>
        <v>0</v>
      </c>
      <c r="G114" s="562">
        <f>'[1]9. Vzdelávanie'!$AH$51</f>
        <v>0</v>
      </c>
      <c r="H114" s="560">
        <f t="shared" ref="H114:H119" si="208">SUM(I114:K114)</f>
        <v>774983.23</v>
      </c>
      <c r="I114" s="561">
        <f>'[2]9. Vzdelávanie'!$AI$65</f>
        <v>774983.23</v>
      </c>
      <c r="J114" s="561">
        <f>'[2]9. Vzdelávanie'!$AJ$65</f>
        <v>0</v>
      </c>
      <c r="K114" s="562">
        <f>'[2]9. Vzdelávanie'!$AK$65</f>
        <v>0</v>
      </c>
      <c r="L114" s="261">
        <f t="shared" ref="L114:L119" si="209">SUM(M114:O114)</f>
        <v>820500</v>
      </c>
      <c r="M114" s="259">
        <f>'[3]9. Vzdelávanie'!$AI$65</f>
        <v>820500</v>
      </c>
      <c r="N114" s="259">
        <f>'[3]9. Vzdelávanie'!$AJ$65</f>
        <v>0</v>
      </c>
      <c r="O114" s="356">
        <f>'[3]9. Vzdelávanie'!$AK$65</f>
        <v>0</v>
      </c>
      <c r="P114" s="261">
        <f t="shared" ref="P114:P119" si="210">SUM(Q114:S114)</f>
        <v>868500</v>
      </c>
      <c r="Q114" s="259">
        <f>'[4]9. Vzdelávanie'!$AL$65</f>
        <v>815500</v>
      </c>
      <c r="R114" s="259">
        <f>'[4]9. Vzdelávanie'!$AM$65</f>
        <v>53000</v>
      </c>
      <c r="S114" s="259">
        <f>'[4]9. Vzdelávanie'!$AN$65</f>
        <v>0</v>
      </c>
      <c r="T114" s="261">
        <f t="shared" ref="T114:T119" si="211">SUM(U114:W114)</f>
        <v>286036</v>
      </c>
      <c r="U114" s="259">
        <f>'[4]9. Vzdelávanie'!$AO$65</f>
        <v>286036</v>
      </c>
      <c r="V114" s="259">
        <f>'[4]9. Vzdelávanie'!$AP$65</f>
        <v>0</v>
      </c>
      <c r="W114" s="259">
        <f>'[4]9. Vzdelávanie'!$AQ$65</f>
        <v>0</v>
      </c>
      <c r="X114" s="261">
        <f t="shared" ref="X114:X119" si="212">SUM(Y114:AA114)</f>
        <v>0</v>
      </c>
      <c r="Y114" s="259">
        <f>'[4]9. Vzdelávanie'!$AR$65</f>
        <v>0</v>
      </c>
      <c r="Z114" s="259">
        <f>'[4]9. Vzdelávanie'!$AS$65</f>
        <v>0</v>
      </c>
      <c r="AA114" s="259">
        <f>'[4]9. Vzdelávanie'!$AT$65</f>
        <v>0</v>
      </c>
      <c r="AB114" s="261">
        <f t="shared" ref="AB114:AB119" si="213">SUM(AC114:AE114)</f>
        <v>868500</v>
      </c>
      <c r="AC114" s="259">
        <f>'[4]9. Vzdelávanie'!$AU$65</f>
        <v>815500</v>
      </c>
      <c r="AD114" s="259">
        <f>'[4]9. Vzdelávanie'!$AV$65</f>
        <v>53000</v>
      </c>
      <c r="AE114" s="260">
        <f>'[4]9. Vzdelávanie'!$AW$65</f>
        <v>0</v>
      </c>
    </row>
    <row r="115" spans="1:31" ht="15.75" x14ac:dyDescent="0.25">
      <c r="A115" s="124"/>
      <c r="B115" s="273">
        <v>2</v>
      </c>
      <c r="C115" s="274" t="s">
        <v>289</v>
      </c>
      <c r="D115" s="560">
        <f t="shared" si="207"/>
        <v>320425</v>
      </c>
      <c r="E115" s="561">
        <f>'[1]9. Vzdelávanie'!$AF$52</f>
        <v>320425</v>
      </c>
      <c r="F115" s="561">
        <f>'[1]9. Vzdelávanie'!$AG$52</f>
        <v>0</v>
      </c>
      <c r="G115" s="562">
        <f>'[1]9. Vzdelávanie'!$AH$52</f>
        <v>0</v>
      </c>
      <c r="H115" s="560">
        <f t="shared" si="208"/>
        <v>279213.32</v>
      </c>
      <c r="I115" s="561">
        <f>'[2]9. Vzdelávanie'!$AI$66</f>
        <v>279213.32</v>
      </c>
      <c r="J115" s="561">
        <f>'[2]9. Vzdelávanie'!$AJ$66</f>
        <v>0</v>
      </c>
      <c r="K115" s="562">
        <f>'[2]9. Vzdelávanie'!$AK$66</f>
        <v>0</v>
      </c>
      <c r="L115" s="261">
        <f t="shared" si="209"/>
        <v>270400</v>
      </c>
      <c r="M115" s="259">
        <f>'[3]9. Vzdelávanie'!$AI$66</f>
        <v>270400</v>
      </c>
      <c r="N115" s="259">
        <f>'[3]9. Vzdelávanie'!$AJ$66</f>
        <v>0</v>
      </c>
      <c r="O115" s="356">
        <f>'[3]9. Vzdelávanie'!$AK$66</f>
        <v>0</v>
      </c>
      <c r="P115" s="261">
        <f t="shared" si="210"/>
        <v>270400</v>
      </c>
      <c r="Q115" s="259">
        <f>'[4]9. Vzdelávanie'!$AL$66</f>
        <v>270400</v>
      </c>
      <c r="R115" s="259">
        <f>'[4]9. Vzdelávanie'!$AM$66</f>
        <v>0</v>
      </c>
      <c r="S115" s="259">
        <f>'[4]9. Vzdelávanie'!$AN$66</f>
        <v>0</v>
      </c>
      <c r="T115" s="261">
        <f t="shared" si="211"/>
        <v>95565</v>
      </c>
      <c r="U115" s="259">
        <f>'[4]9. Vzdelávanie'!$AO$66</f>
        <v>95565</v>
      </c>
      <c r="V115" s="259">
        <f>'[4]9. Vzdelávanie'!$AP$66</f>
        <v>0</v>
      </c>
      <c r="W115" s="259">
        <f>'[4]9. Vzdelávanie'!$AQ$66</f>
        <v>0</v>
      </c>
      <c r="X115" s="261">
        <f t="shared" si="212"/>
        <v>-7000</v>
      </c>
      <c r="Y115" s="259">
        <f>'[4]9. Vzdelávanie'!$AR$66</f>
        <v>-7000</v>
      </c>
      <c r="Z115" s="259">
        <f>'[4]9. Vzdelávanie'!$AS$66</f>
        <v>0</v>
      </c>
      <c r="AA115" s="259">
        <f>'[4]9. Vzdelávanie'!$AT$66</f>
        <v>0</v>
      </c>
      <c r="AB115" s="261">
        <f t="shared" si="213"/>
        <v>263400</v>
      </c>
      <c r="AC115" s="259">
        <f>'[4]9. Vzdelávanie'!$AU$66</f>
        <v>263400</v>
      </c>
      <c r="AD115" s="259">
        <f>'[4]9. Vzdelávanie'!$AV$66</f>
        <v>0</v>
      </c>
      <c r="AE115" s="260">
        <f>'[4]9. Vzdelávanie'!$AW$66</f>
        <v>0</v>
      </c>
    </row>
    <row r="116" spans="1:31" ht="15.75" x14ac:dyDescent="0.25">
      <c r="A116" s="124"/>
      <c r="B116" s="285" t="s">
        <v>290</v>
      </c>
      <c r="C116" s="274" t="s">
        <v>291</v>
      </c>
      <c r="D116" s="560">
        <f t="shared" si="207"/>
        <v>1093914.28</v>
      </c>
      <c r="E116" s="561">
        <f>'[1]9. Vzdelávanie'!$AF$53</f>
        <v>1093914.28</v>
      </c>
      <c r="F116" s="561">
        <f>'[1]9. Vzdelávanie'!$AG$53</f>
        <v>0</v>
      </c>
      <c r="G116" s="562">
        <f>'[1]9. Vzdelávanie'!$AH$53</f>
        <v>0</v>
      </c>
      <c r="H116" s="560">
        <f t="shared" si="208"/>
        <v>1250601.54</v>
      </c>
      <c r="I116" s="561">
        <f>'[2]9. Vzdelávanie'!$AI$67</f>
        <v>1250601.54</v>
      </c>
      <c r="J116" s="561">
        <f>'[2]9. Vzdelávanie'!$AJ$67</f>
        <v>0</v>
      </c>
      <c r="K116" s="562">
        <f>'[2]9. Vzdelávanie'!$AK$67</f>
        <v>0</v>
      </c>
      <c r="L116" s="261">
        <f t="shared" si="209"/>
        <v>1459042</v>
      </c>
      <c r="M116" s="259">
        <f>'[3]9. Vzdelávanie'!$AI$67</f>
        <v>1459042</v>
      </c>
      <c r="N116" s="259">
        <f>'[3]9. Vzdelávanie'!$AJ$67</f>
        <v>0</v>
      </c>
      <c r="O116" s="356">
        <f>'[3]9. Vzdelávanie'!$AK$67</f>
        <v>0</v>
      </c>
      <c r="P116" s="261">
        <f t="shared" si="210"/>
        <v>1152120</v>
      </c>
      <c r="Q116" s="259">
        <f>'[4]9. Vzdelávanie'!$AL$67</f>
        <v>1152120</v>
      </c>
      <c r="R116" s="259">
        <f>'[4]9. Vzdelávanie'!$AM$67</f>
        <v>0</v>
      </c>
      <c r="S116" s="259">
        <f>'[4]9. Vzdelávanie'!$AN$67</f>
        <v>0</v>
      </c>
      <c r="T116" s="261">
        <f t="shared" si="211"/>
        <v>415159.89999999997</v>
      </c>
      <c r="U116" s="259">
        <f>'[4]9. Vzdelávanie'!$AO$67</f>
        <v>415159.89999999997</v>
      </c>
      <c r="V116" s="259">
        <f>'[4]9. Vzdelávanie'!$AP$67</f>
        <v>0</v>
      </c>
      <c r="W116" s="259">
        <f>'[4]9. Vzdelávanie'!$AQ$67</f>
        <v>0</v>
      </c>
      <c r="X116" s="261">
        <f t="shared" si="212"/>
        <v>44563</v>
      </c>
      <c r="Y116" s="259">
        <f>'[4]9. Vzdelávanie'!$AR$67</f>
        <v>44563</v>
      </c>
      <c r="Z116" s="259">
        <f>'[4]9. Vzdelávanie'!$AS$67</f>
        <v>0</v>
      </c>
      <c r="AA116" s="259">
        <f>'[4]9. Vzdelávanie'!$AT$67</f>
        <v>0</v>
      </c>
      <c r="AB116" s="261">
        <f t="shared" si="213"/>
        <v>1196683</v>
      </c>
      <c r="AC116" s="259">
        <f>'[4]9. Vzdelávanie'!$AU$67</f>
        <v>1196683</v>
      </c>
      <c r="AD116" s="259">
        <f>'[4]9. Vzdelávanie'!$AV$67</f>
        <v>0</v>
      </c>
      <c r="AE116" s="260">
        <f>'[4]9. Vzdelávanie'!$AW$67</f>
        <v>0</v>
      </c>
    </row>
    <row r="117" spans="1:31" ht="15.75" x14ac:dyDescent="0.25">
      <c r="A117" s="124"/>
      <c r="B117" s="285" t="s">
        <v>292</v>
      </c>
      <c r="C117" s="274" t="s">
        <v>293</v>
      </c>
      <c r="D117" s="560">
        <f t="shared" si="207"/>
        <v>1050115.76</v>
      </c>
      <c r="E117" s="561">
        <f>'[1]9. Vzdelávanie'!$AF$77</f>
        <v>1017683.24</v>
      </c>
      <c r="F117" s="561">
        <f>'[1]9. Vzdelávanie'!$AG$77</f>
        <v>32432.52</v>
      </c>
      <c r="G117" s="562">
        <f>'[1]9. Vzdelávanie'!$AH$77</f>
        <v>0</v>
      </c>
      <c r="H117" s="560">
        <f t="shared" si="208"/>
        <v>850994.06</v>
      </c>
      <c r="I117" s="561">
        <f>'[2]9. Vzdelávanie'!$AI$91</f>
        <v>830853.42</v>
      </c>
      <c r="J117" s="561">
        <f>'[2]9. Vzdelávanie'!$AJ$91</f>
        <v>20140.639999999996</v>
      </c>
      <c r="K117" s="562">
        <f>'[2]9. Vzdelávanie'!$AK$91</f>
        <v>0</v>
      </c>
      <c r="L117" s="261">
        <f t="shared" si="209"/>
        <v>895930</v>
      </c>
      <c r="M117" s="259">
        <f>'[3]9. Vzdelávanie'!$AI$91</f>
        <v>895930</v>
      </c>
      <c r="N117" s="259">
        <f>'[3]9. Vzdelávanie'!$AJ$91</f>
        <v>0</v>
      </c>
      <c r="O117" s="356">
        <f>'[3]9. Vzdelávanie'!$AK$91</f>
        <v>0</v>
      </c>
      <c r="P117" s="261">
        <f t="shared" si="210"/>
        <v>1622137</v>
      </c>
      <c r="Q117" s="259">
        <f>'[4]9. Vzdelávanie'!$AL$91</f>
        <v>1111992</v>
      </c>
      <c r="R117" s="259">
        <f>'[4]9. Vzdelávanie'!$AM$91</f>
        <v>510145</v>
      </c>
      <c r="S117" s="259">
        <f>'[4]9. Vzdelávanie'!$AN$91</f>
        <v>0</v>
      </c>
      <c r="T117" s="261">
        <f t="shared" si="211"/>
        <v>352496.33</v>
      </c>
      <c r="U117" s="259">
        <f>'[4]9. Vzdelávanie'!$AO$91</f>
        <v>352496.33</v>
      </c>
      <c r="V117" s="259">
        <f>'[4]9. Vzdelávanie'!$AP$91</f>
        <v>0</v>
      </c>
      <c r="W117" s="259">
        <f>'[4]9. Vzdelávanie'!$AQ$91</f>
        <v>0</v>
      </c>
      <c r="X117" s="261">
        <f t="shared" si="212"/>
        <v>21590</v>
      </c>
      <c r="Y117" s="259">
        <f>'[4]9. Vzdelávanie'!$AR$91</f>
        <v>21590</v>
      </c>
      <c r="Z117" s="259">
        <f>'[4]9. Vzdelávanie'!$AS$91</f>
        <v>0</v>
      </c>
      <c r="AA117" s="259">
        <f>'[4]9. Vzdelávanie'!$AT$91</f>
        <v>0</v>
      </c>
      <c r="AB117" s="261">
        <f t="shared" si="213"/>
        <v>1643727</v>
      </c>
      <c r="AC117" s="259">
        <f>'[4]9. Vzdelávanie'!$AU$91</f>
        <v>1133582</v>
      </c>
      <c r="AD117" s="259">
        <f>'[4]9. Vzdelávanie'!$AV$91</f>
        <v>510145</v>
      </c>
      <c r="AE117" s="260">
        <f>'[4]9. Vzdelávanie'!$AW$91</f>
        <v>0</v>
      </c>
    </row>
    <row r="118" spans="1:31" ht="15.75" x14ac:dyDescent="0.25">
      <c r="A118" s="124"/>
      <c r="B118" s="385" t="s">
        <v>294</v>
      </c>
      <c r="C118" s="386" t="s">
        <v>412</v>
      </c>
      <c r="D118" s="560">
        <f t="shared" si="207"/>
        <v>74647.3</v>
      </c>
      <c r="E118" s="561">
        <f>'[1]9. Vzdelávanie'!$AF$78</f>
        <v>74647.3</v>
      </c>
      <c r="F118" s="561">
        <f>'[1]9. Vzdelávanie'!$AG$78</f>
        <v>0</v>
      </c>
      <c r="G118" s="562">
        <f>'[1]9. Vzdelávanie'!$AH$78</f>
        <v>0</v>
      </c>
      <c r="H118" s="560">
        <f t="shared" si="208"/>
        <v>78743</v>
      </c>
      <c r="I118" s="561">
        <f>'[2]9. Vzdelávanie'!$AI$92</f>
        <v>78743</v>
      </c>
      <c r="J118" s="561">
        <f>'[2]9. Vzdelávanie'!$AJ$92</f>
        <v>0</v>
      </c>
      <c r="K118" s="562">
        <f>'[2]9. Vzdelávanie'!$AK$92</f>
        <v>0</v>
      </c>
      <c r="L118" s="261">
        <f t="shared" si="209"/>
        <v>979371</v>
      </c>
      <c r="M118" s="259">
        <f>'[3]9. Vzdelávanie'!$AI$92</f>
        <v>539371</v>
      </c>
      <c r="N118" s="259">
        <f>'[3]9. Vzdelávanie'!$AJ$92</f>
        <v>440000</v>
      </c>
      <c r="O118" s="356">
        <f>'[3]9. Vzdelávanie'!$AK$92</f>
        <v>0</v>
      </c>
      <c r="P118" s="261">
        <f t="shared" si="210"/>
        <v>642602</v>
      </c>
      <c r="Q118" s="259">
        <f>'[4]9. Vzdelávanie'!$AL$92</f>
        <v>615614</v>
      </c>
      <c r="R118" s="259">
        <f>'[4]9. Vzdelávanie'!$AM$92</f>
        <v>26988</v>
      </c>
      <c r="S118" s="259">
        <f>'[4]9. Vzdelávanie'!$AN$92</f>
        <v>0</v>
      </c>
      <c r="T118" s="261">
        <f t="shared" si="211"/>
        <v>81558.2</v>
      </c>
      <c r="U118" s="259">
        <f>'[4]9. Vzdelávanie'!$AO$92</f>
        <v>81558.2</v>
      </c>
      <c r="V118" s="259">
        <f>'[4]9. Vzdelávanie'!$AP$92</f>
        <v>0</v>
      </c>
      <c r="W118" s="259">
        <f>'[4]9. Vzdelávanie'!$AQ$92</f>
        <v>0</v>
      </c>
      <c r="X118" s="261">
        <f t="shared" si="212"/>
        <v>-44563</v>
      </c>
      <c r="Y118" s="259">
        <f>'[4]9. Vzdelávanie'!$AR$92</f>
        <v>-44563</v>
      </c>
      <c r="Z118" s="259">
        <f>'[4]9. Vzdelávanie'!$AS$92</f>
        <v>0</v>
      </c>
      <c r="AA118" s="259">
        <f>'[4]9. Vzdelávanie'!$AT$92</f>
        <v>0</v>
      </c>
      <c r="AB118" s="261">
        <f t="shared" si="213"/>
        <v>598039</v>
      </c>
      <c r="AC118" s="259">
        <f>'[4]9. Vzdelávanie'!$AU$92</f>
        <v>571051</v>
      </c>
      <c r="AD118" s="259">
        <f>'[4]9. Vzdelávanie'!$AV$92</f>
        <v>26988</v>
      </c>
      <c r="AE118" s="260">
        <f>'[4]9. Vzdelávanie'!$AW$92</f>
        <v>0</v>
      </c>
    </row>
    <row r="119" spans="1:31" ht="16.5" thickBot="1" x14ac:dyDescent="0.3">
      <c r="A119" s="124"/>
      <c r="B119" s="384" t="s">
        <v>459</v>
      </c>
      <c r="C119" s="363" t="s">
        <v>460</v>
      </c>
      <c r="D119" s="563">
        <f t="shared" si="207"/>
        <v>1026463.3200000001</v>
      </c>
      <c r="E119" s="564">
        <f>'[1]9. Vzdelávanie'!$AF$85</f>
        <v>1026463.3200000001</v>
      </c>
      <c r="F119" s="564">
        <f>'[1]9. Vzdelávanie'!$AG$85</f>
        <v>0</v>
      </c>
      <c r="G119" s="565">
        <f>'[1]9. Vzdelávanie'!$AH$85</f>
        <v>0</v>
      </c>
      <c r="H119" s="563">
        <f t="shared" si="208"/>
        <v>1050140.8799999999</v>
      </c>
      <c r="I119" s="564">
        <f>'[2]9. Vzdelávanie'!$AI$99</f>
        <v>1050140.8799999999</v>
      </c>
      <c r="J119" s="564">
        <f>'[2]9. Vzdelávanie'!$AJ$99</f>
        <v>0</v>
      </c>
      <c r="K119" s="565">
        <f>'[2]9. Vzdelávanie'!$AK$99</f>
        <v>0</v>
      </c>
      <c r="L119" s="269">
        <f t="shared" si="209"/>
        <v>1298556</v>
      </c>
      <c r="M119" s="270">
        <f>'[3]9. Vzdelávanie'!$AI$99</f>
        <v>1298556</v>
      </c>
      <c r="N119" s="270">
        <f>'[3]9. Vzdelávanie'!$AJ$99</f>
        <v>0</v>
      </c>
      <c r="O119" s="641">
        <f>'[3]9. Vzdelávanie'!$AK$99</f>
        <v>0</v>
      </c>
      <c r="P119" s="269">
        <f t="shared" si="210"/>
        <v>1351030</v>
      </c>
      <c r="Q119" s="270">
        <f>'[4]9. Vzdelávanie'!$AL$99</f>
        <v>1351030</v>
      </c>
      <c r="R119" s="270">
        <f>'[4]9. Vzdelávanie'!$AM$99</f>
        <v>0</v>
      </c>
      <c r="S119" s="270">
        <f>'[4]9. Vzdelávanie'!$AN$99</f>
        <v>0</v>
      </c>
      <c r="T119" s="269">
        <f t="shared" si="211"/>
        <v>677734.43</v>
      </c>
      <c r="U119" s="270">
        <f>'[4]9. Vzdelávanie'!$AO$99</f>
        <v>677734.43</v>
      </c>
      <c r="V119" s="270">
        <f>'[4]9. Vzdelávanie'!$AP$99</f>
        <v>0</v>
      </c>
      <c r="W119" s="270">
        <f>'[4]9. Vzdelávanie'!$AQ$99</f>
        <v>0</v>
      </c>
      <c r="X119" s="269">
        <f t="shared" si="212"/>
        <v>10000</v>
      </c>
      <c r="Y119" s="270">
        <f>'[4]9. Vzdelávanie'!$AR$99</f>
        <v>10000</v>
      </c>
      <c r="Z119" s="270">
        <f>'[4]9. Vzdelávanie'!$AS$99</f>
        <v>0</v>
      </c>
      <c r="AA119" s="270">
        <f>'[4]9. Vzdelávanie'!$AT$99</f>
        <v>0</v>
      </c>
      <c r="AB119" s="269">
        <f t="shared" si="213"/>
        <v>1361030</v>
      </c>
      <c r="AC119" s="270">
        <f>'[4]9. Vzdelávanie'!$AU$99</f>
        <v>1361030</v>
      </c>
      <c r="AD119" s="270">
        <f>'[4]9. Vzdelávanie'!$AV$99</f>
        <v>0</v>
      </c>
      <c r="AE119" s="303">
        <f>'[4]9. Vzdelávanie'!$AW$99</f>
        <v>0</v>
      </c>
    </row>
    <row r="120" spans="1:31" s="123" customFormat="1" ht="15.75" x14ac:dyDescent="0.25">
      <c r="A120" s="125"/>
      <c r="B120" s="277" t="s">
        <v>296</v>
      </c>
      <c r="C120" s="284"/>
      <c r="D120" s="557">
        <f t="shared" ref="D120:G120" si="214">D121+D122+D130</f>
        <v>363925.54999999993</v>
      </c>
      <c r="E120" s="558">
        <f t="shared" si="214"/>
        <v>363925.54999999993</v>
      </c>
      <c r="F120" s="558">
        <f>F121+F122+F130</f>
        <v>0</v>
      </c>
      <c r="G120" s="559">
        <f t="shared" si="214"/>
        <v>0</v>
      </c>
      <c r="H120" s="557">
        <f t="shared" ref="H120:K120" si="215">H121+H122+H130</f>
        <v>404867.61</v>
      </c>
      <c r="I120" s="558">
        <f t="shared" si="215"/>
        <v>404867.61</v>
      </c>
      <c r="J120" s="558">
        <f t="shared" si="215"/>
        <v>0</v>
      </c>
      <c r="K120" s="559">
        <f t="shared" si="215"/>
        <v>0</v>
      </c>
      <c r="L120" s="267">
        <f t="shared" ref="L120:S120" si="216">L121+L122+L130</f>
        <v>1018600</v>
      </c>
      <c r="M120" s="268">
        <f t="shared" si="216"/>
        <v>468600</v>
      </c>
      <c r="N120" s="268">
        <f t="shared" si="216"/>
        <v>550000</v>
      </c>
      <c r="O120" s="355">
        <f t="shared" si="216"/>
        <v>0</v>
      </c>
      <c r="P120" s="267">
        <f t="shared" si="216"/>
        <v>1024600</v>
      </c>
      <c r="Q120" s="268">
        <f t="shared" si="216"/>
        <v>468910</v>
      </c>
      <c r="R120" s="268">
        <f t="shared" si="216"/>
        <v>555690</v>
      </c>
      <c r="S120" s="355">
        <f t="shared" si="216"/>
        <v>0</v>
      </c>
      <c r="T120" s="267">
        <f t="shared" ref="T120:W120" si="217">T121+T122+T130</f>
        <v>164075.60999999999</v>
      </c>
      <c r="U120" s="268">
        <f t="shared" si="217"/>
        <v>164075.60999999999</v>
      </c>
      <c r="V120" s="268">
        <f t="shared" si="217"/>
        <v>0</v>
      </c>
      <c r="W120" s="355">
        <f t="shared" si="217"/>
        <v>0</v>
      </c>
      <c r="X120" s="267">
        <f t="shared" ref="X120:AE120" si="218">X121+X122+X130</f>
        <v>0</v>
      </c>
      <c r="Y120" s="268">
        <f t="shared" si="218"/>
        <v>0</v>
      </c>
      <c r="Z120" s="268">
        <f t="shared" si="218"/>
        <v>0</v>
      </c>
      <c r="AA120" s="355">
        <f t="shared" si="218"/>
        <v>0</v>
      </c>
      <c r="AB120" s="267">
        <f t="shared" si="218"/>
        <v>1024600</v>
      </c>
      <c r="AC120" s="268">
        <f t="shared" si="218"/>
        <v>468910</v>
      </c>
      <c r="AD120" s="268">
        <f t="shared" si="218"/>
        <v>555690</v>
      </c>
      <c r="AE120" s="355">
        <f t="shared" si="218"/>
        <v>0</v>
      </c>
    </row>
    <row r="121" spans="1:31" ht="15.75" x14ac:dyDescent="0.25">
      <c r="B121" s="285" t="s">
        <v>297</v>
      </c>
      <c r="C121" s="274" t="s">
        <v>298</v>
      </c>
      <c r="D121" s="560">
        <f>SUM(E121:G121)</f>
        <v>2001.37</v>
      </c>
      <c r="E121" s="561">
        <f>'[1]10. Šport'!$AF$4</f>
        <v>2001.37</v>
      </c>
      <c r="F121" s="561">
        <f>'[1]10. Šport'!$AG$4</f>
        <v>0</v>
      </c>
      <c r="G121" s="562">
        <f>'[1]10. Šport'!$AH$4</f>
        <v>0</v>
      </c>
      <c r="H121" s="560">
        <f>SUM(I121:K121)</f>
        <v>3530.69</v>
      </c>
      <c r="I121" s="561">
        <f>'[2]10. Šport'!$AI$4</f>
        <v>3530.69</v>
      </c>
      <c r="J121" s="561">
        <f>'[2]10. Šport'!$AJ$4</f>
        <v>0</v>
      </c>
      <c r="K121" s="562">
        <f>'[2]10. Šport'!$AK$4</f>
        <v>0</v>
      </c>
      <c r="L121" s="261">
        <f>SUM(M121:O121)</f>
        <v>5000</v>
      </c>
      <c r="M121" s="259">
        <f>'[3]10. Šport'!$AI$4</f>
        <v>5000</v>
      </c>
      <c r="N121" s="259">
        <f>'[3]10. Šport'!$AJ$4</f>
        <v>0</v>
      </c>
      <c r="O121" s="356">
        <f>'[3]10. Šport'!$AK$4</f>
        <v>0</v>
      </c>
      <c r="P121" s="261">
        <f>SUM(Q121:S121)</f>
        <v>5000</v>
      </c>
      <c r="Q121" s="259">
        <f>'[4]10. Šport'!$AL$4</f>
        <v>5000</v>
      </c>
      <c r="R121" s="259">
        <f>'[4]10. Šport'!$AM$4</f>
        <v>0</v>
      </c>
      <c r="S121" s="259">
        <f>'[4]10. Šport'!$AN$4</f>
        <v>0</v>
      </c>
      <c r="T121" s="261">
        <f>SUM(U121:W121)</f>
        <v>0</v>
      </c>
      <c r="U121" s="259">
        <f>'[4]10. Šport'!$AO$4</f>
        <v>0</v>
      </c>
      <c r="V121" s="259">
        <f>'[4]10. Šport'!$AP$4</f>
        <v>0</v>
      </c>
      <c r="W121" s="259">
        <f>'[4]10. Šport'!$AQ$4</f>
        <v>0</v>
      </c>
      <c r="X121" s="261">
        <f>SUM(Y121:AA121)</f>
        <v>0</v>
      </c>
      <c r="Y121" s="259">
        <f>'[4]10. Šport'!$AR$4</f>
        <v>0</v>
      </c>
      <c r="Z121" s="259">
        <f>'[4]10. Šport'!$AS$4</f>
        <v>0</v>
      </c>
      <c r="AA121" s="259">
        <f>'[4]10. Šport'!$AT$4</f>
        <v>0</v>
      </c>
      <c r="AB121" s="261">
        <f>SUM(AC121:AE121)</f>
        <v>5000</v>
      </c>
      <c r="AC121" s="259">
        <f>'[4]10. Šport'!$AU$4</f>
        <v>5000</v>
      </c>
      <c r="AD121" s="259">
        <f>'[4]10. Šport'!$AV$4</f>
        <v>0</v>
      </c>
      <c r="AE121" s="260">
        <f>'[4]10. Šport'!$AW$4</f>
        <v>0</v>
      </c>
    </row>
    <row r="122" spans="1:31" ht="15.75" x14ac:dyDescent="0.25">
      <c r="B122" s="285" t="s">
        <v>299</v>
      </c>
      <c r="C122" s="274" t="s">
        <v>300</v>
      </c>
      <c r="D122" s="560">
        <f t="shared" ref="D122:G122" si="219">SUM(D123:D129)</f>
        <v>359124.17999999993</v>
      </c>
      <c r="E122" s="561">
        <f t="shared" si="219"/>
        <v>359124.17999999993</v>
      </c>
      <c r="F122" s="561">
        <f t="shared" si="219"/>
        <v>0</v>
      </c>
      <c r="G122" s="562">
        <f t="shared" si="219"/>
        <v>0</v>
      </c>
      <c r="H122" s="560">
        <f t="shared" ref="H122:K122" si="220">SUM(H123:H129)</f>
        <v>396336.92</v>
      </c>
      <c r="I122" s="561">
        <f t="shared" si="220"/>
        <v>396336.92</v>
      </c>
      <c r="J122" s="561">
        <f t="shared" si="220"/>
        <v>0</v>
      </c>
      <c r="K122" s="562">
        <f t="shared" si="220"/>
        <v>0</v>
      </c>
      <c r="L122" s="261">
        <f t="shared" ref="L122:S122" si="221">SUM(L123:L129)</f>
        <v>1008600</v>
      </c>
      <c r="M122" s="259">
        <f t="shared" si="221"/>
        <v>458600</v>
      </c>
      <c r="N122" s="259">
        <f t="shared" si="221"/>
        <v>550000</v>
      </c>
      <c r="O122" s="356">
        <f t="shared" si="221"/>
        <v>0</v>
      </c>
      <c r="P122" s="261">
        <f t="shared" si="221"/>
        <v>1014600</v>
      </c>
      <c r="Q122" s="259">
        <f t="shared" si="221"/>
        <v>458910</v>
      </c>
      <c r="R122" s="259">
        <f t="shared" si="221"/>
        <v>555690</v>
      </c>
      <c r="S122" s="356">
        <f t="shared" si="221"/>
        <v>0</v>
      </c>
      <c r="T122" s="261">
        <f t="shared" ref="T122:W122" si="222">SUM(T123:T129)</f>
        <v>162275.60999999999</v>
      </c>
      <c r="U122" s="259">
        <f t="shared" si="222"/>
        <v>162275.60999999999</v>
      </c>
      <c r="V122" s="259">
        <f t="shared" si="222"/>
        <v>0</v>
      </c>
      <c r="W122" s="356">
        <f t="shared" si="222"/>
        <v>0</v>
      </c>
      <c r="X122" s="261">
        <f t="shared" ref="X122:AE122" si="223">SUM(X123:X129)</f>
        <v>0</v>
      </c>
      <c r="Y122" s="259">
        <f t="shared" si="223"/>
        <v>0</v>
      </c>
      <c r="Z122" s="259">
        <f t="shared" si="223"/>
        <v>0</v>
      </c>
      <c r="AA122" s="356">
        <f t="shared" si="223"/>
        <v>0</v>
      </c>
      <c r="AB122" s="261">
        <f t="shared" si="223"/>
        <v>1014600</v>
      </c>
      <c r="AC122" s="259">
        <f t="shared" si="223"/>
        <v>458910</v>
      </c>
      <c r="AD122" s="259">
        <f t="shared" si="223"/>
        <v>555690</v>
      </c>
      <c r="AE122" s="356">
        <f t="shared" si="223"/>
        <v>0</v>
      </c>
    </row>
    <row r="123" spans="1:31" ht="15.75" x14ac:dyDescent="0.25">
      <c r="B123" s="273">
        <v>1</v>
      </c>
      <c r="C123" s="274" t="s">
        <v>301</v>
      </c>
      <c r="D123" s="560">
        <f>SUM(E123:G123)</f>
        <v>40944.58</v>
      </c>
      <c r="E123" s="561">
        <f>'[1]10. Šport'!$AF$12</f>
        <v>40944.58</v>
      </c>
      <c r="F123" s="561">
        <f>'[1]10. Šport'!$AG$12</f>
        <v>0</v>
      </c>
      <c r="G123" s="562">
        <f>'[1]10. Šport'!$AH$12</f>
        <v>0</v>
      </c>
      <c r="H123" s="560">
        <f>SUM(I123:K123)</f>
        <v>63820.610000000008</v>
      </c>
      <c r="I123" s="561">
        <f>'[2]10. Šport'!$AI$12</f>
        <v>63820.610000000008</v>
      </c>
      <c r="J123" s="561">
        <f>'[2]10. Šport'!$AJ$12</f>
        <v>0</v>
      </c>
      <c r="K123" s="562">
        <f>'[2]10. Šport'!$AK$12</f>
        <v>0</v>
      </c>
      <c r="L123" s="261">
        <f>SUM(M123:O123)</f>
        <v>68200</v>
      </c>
      <c r="M123" s="259">
        <f>'[3]10. Šport'!$AI$12</f>
        <v>68200</v>
      </c>
      <c r="N123" s="259">
        <f>'[3]10. Šport'!$AJ$12</f>
        <v>0</v>
      </c>
      <c r="O123" s="356">
        <f>'[3]10. Šport'!$AK$12</f>
        <v>0</v>
      </c>
      <c r="P123" s="261">
        <f>SUM(Q123:S123)</f>
        <v>68200</v>
      </c>
      <c r="Q123" s="259">
        <f>'[4]10. Šport'!$AL$12</f>
        <v>68200</v>
      </c>
      <c r="R123" s="259">
        <f>'[4]10. Šport'!$AM$12</f>
        <v>0</v>
      </c>
      <c r="S123" s="259">
        <f>'[4]10. Šport'!$AN$12</f>
        <v>0</v>
      </c>
      <c r="T123" s="261">
        <f>SUM(U123:W123)</f>
        <v>27118.979999999996</v>
      </c>
      <c r="U123" s="259">
        <f>'[4]10. Šport'!$AO$12</f>
        <v>27118.979999999996</v>
      </c>
      <c r="V123" s="259">
        <f>'[4]10. Šport'!$AP$12</f>
        <v>0</v>
      </c>
      <c r="W123" s="259">
        <f>'[4]10. Šport'!$AQ$12</f>
        <v>0</v>
      </c>
      <c r="X123" s="261">
        <f>SUM(Y123:AA123)</f>
        <v>0</v>
      </c>
      <c r="Y123" s="259">
        <f>'[4]10. Šport'!$AR$12</f>
        <v>0</v>
      </c>
      <c r="Z123" s="259">
        <f>'[4]10. Šport'!$AS$12</f>
        <v>0</v>
      </c>
      <c r="AA123" s="259">
        <f>'[4]10. Šport'!$AT$12</f>
        <v>0</v>
      </c>
      <c r="AB123" s="261">
        <f>SUM(AC123:AE123)</f>
        <v>68200</v>
      </c>
      <c r="AC123" s="259">
        <f>'[4]10. Šport'!$AU$12</f>
        <v>68200</v>
      </c>
      <c r="AD123" s="259">
        <f>'[4]10. Šport'!$AV$12</f>
        <v>0</v>
      </c>
      <c r="AE123" s="260">
        <f>'[4]10. Šport'!$AW$12</f>
        <v>0</v>
      </c>
    </row>
    <row r="124" spans="1:31" ht="15.75" x14ac:dyDescent="0.25">
      <c r="B124" s="273">
        <v>2</v>
      </c>
      <c r="C124" s="274" t="s">
        <v>302</v>
      </c>
      <c r="D124" s="560">
        <f t="shared" ref="D124:D130" si="224">SUM(E124:G124)</f>
        <v>73615.34</v>
      </c>
      <c r="E124" s="561">
        <f>'[1]10. Šport'!$AF$32</f>
        <v>73615.34</v>
      </c>
      <c r="F124" s="561">
        <f>'[1]10. Šport'!$AG$32</f>
        <v>0</v>
      </c>
      <c r="G124" s="562">
        <f>'[1]10. Šport'!$AH$32</f>
        <v>0</v>
      </c>
      <c r="H124" s="560">
        <f t="shared" ref="H124:H130" si="225">SUM(I124:K124)</f>
        <v>67164.659999999989</v>
      </c>
      <c r="I124" s="561">
        <f>'[2]10. Šport'!$AI$32</f>
        <v>67164.659999999989</v>
      </c>
      <c r="J124" s="561">
        <f>'[2]10. Šport'!$AJ$32</f>
        <v>0</v>
      </c>
      <c r="K124" s="562">
        <f>'[2]10. Šport'!$AK$32</f>
        <v>0</v>
      </c>
      <c r="L124" s="261">
        <f t="shared" ref="L124:L130" si="226">SUM(M124:O124)</f>
        <v>85700</v>
      </c>
      <c r="M124" s="259">
        <f>'[3]10. Šport'!$AI$32</f>
        <v>85700</v>
      </c>
      <c r="N124" s="259">
        <f>'[3]10. Šport'!$AJ$32</f>
        <v>0</v>
      </c>
      <c r="O124" s="356">
        <f>'[3]10. Šport'!$AK$32</f>
        <v>0</v>
      </c>
      <c r="P124" s="261">
        <f t="shared" ref="P124:P130" si="227">SUM(Q124:S124)</f>
        <v>80010</v>
      </c>
      <c r="Q124" s="259">
        <f>'[4]10. Šport'!$AL$32</f>
        <v>80010</v>
      </c>
      <c r="R124" s="259">
        <f>'[4]10. Šport'!$AM$32</f>
        <v>0</v>
      </c>
      <c r="S124" s="259">
        <f>'[4]10. Šport'!$AN$32</f>
        <v>0</v>
      </c>
      <c r="T124" s="261">
        <f t="shared" ref="T124:T130" si="228">SUM(U124:W124)</f>
        <v>24585.309999999998</v>
      </c>
      <c r="U124" s="259">
        <f>'[4]10. Šport'!$AO$32</f>
        <v>24585.309999999998</v>
      </c>
      <c r="V124" s="259">
        <f>'[4]10. Šport'!$AP$32</f>
        <v>0</v>
      </c>
      <c r="W124" s="259">
        <f>'[4]10. Šport'!$AQ$32</f>
        <v>0</v>
      </c>
      <c r="X124" s="261">
        <f t="shared" ref="X124:X130" si="229">SUM(Y124:AA124)</f>
        <v>0</v>
      </c>
      <c r="Y124" s="259">
        <f>'[4]10. Šport'!$AR$32</f>
        <v>0</v>
      </c>
      <c r="Z124" s="259">
        <f>'[4]10. Šport'!$AS$32</f>
        <v>0</v>
      </c>
      <c r="AA124" s="259">
        <f>'[4]10. Šport'!$AT$32</f>
        <v>0</v>
      </c>
      <c r="AB124" s="261">
        <f t="shared" ref="AB124:AB130" si="230">SUM(AC124:AE124)</f>
        <v>80010</v>
      </c>
      <c r="AC124" s="259">
        <f>'[4]10. Šport'!$AU$32</f>
        <v>80010</v>
      </c>
      <c r="AD124" s="259">
        <f>'[4]10. Šport'!$AV$32</f>
        <v>0</v>
      </c>
      <c r="AE124" s="260">
        <f>'[4]10. Šport'!$AW$32</f>
        <v>0</v>
      </c>
    </row>
    <row r="125" spans="1:31" ht="15.75" x14ac:dyDescent="0.25">
      <c r="B125" s="273">
        <v>3</v>
      </c>
      <c r="C125" s="274" t="s">
        <v>303</v>
      </c>
      <c r="D125" s="560">
        <f t="shared" si="224"/>
        <v>22006.25</v>
      </c>
      <c r="E125" s="561">
        <f>'[1]10. Šport'!$AF$54</f>
        <v>22006.25</v>
      </c>
      <c r="F125" s="561">
        <f>'[1]10. Šport'!$AG$54</f>
        <v>0</v>
      </c>
      <c r="G125" s="562">
        <f>'[1]10. Šport'!$AH$54</f>
        <v>0</v>
      </c>
      <c r="H125" s="560">
        <f t="shared" si="225"/>
        <v>28205.27</v>
      </c>
      <c r="I125" s="561">
        <f>'[2]10. Šport'!$AI$54</f>
        <v>28205.27</v>
      </c>
      <c r="J125" s="561">
        <f>'[2]10. Šport'!$AJ$54</f>
        <v>0</v>
      </c>
      <c r="K125" s="562">
        <f>'[2]10. Šport'!$AK$54</f>
        <v>0</v>
      </c>
      <c r="L125" s="261">
        <f t="shared" si="226"/>
        <v>23500</v>
      </c>
      <c r="M125" s="259">
        <f>'[3]10. Šport'!$AI$54</f>
        <v>23500</v>
      </c>
      <c r="N125" s="259">
        <f>'[3]10. Šport'!$AJ$54</f>
        <v>0</v>
      </c>
      <c r="O125" s="356">
        <f>'[3]10. Šport'!$AK$54</f>
        <v>0</v>
      </c>
      <c r="P125" s="261">
        <f t="shared" si="227"/>
        <v>23500</v>
      </c>
      <c r="Q125" s="259">
        <f>'[4]10. Šport'!$AL$54</f>
        <v>23500</v>
      </c>
      <c r="R125" s="259">
        <f>'[4]10. Šport'!$AM$54</f>
        <v>0</v>
      </c>
      <c r="S125" s="259">
        <f>'[4]10. Šport'!$AN$54</f>
        <v>0</v>
      </c>
      <c r="T125" s="261">
        <f t="shared" si="228"/>
        <v>13369.12</v>
      </c>
      <c r="U125" s="259">
        <f>'[4]10. Šport'!$AO$54</f>
        <v>13369.12</v>
      </c>
      <c r="V125" s="259">
        <f>'[4]10. Šport'!$AP$54</f>
        <v>0</v>
      </c>
      <c r="W125" s="259">
        <f>'[4]10. Šport'!$AQ$54</f>
        <v>0</v>
      </c>
      <c r="X125" s="261">
        <f t="shared" si="229"/>
        <v>0</v>
      </c>
      <c r="Y125" s="259">
        <f>'[4]10. Šport'!$AR$54</f>
        <v>0</v>
      </c>
      <c r="Z125" s="259">
        <f>'[4]10. Šport'!$AS$54</f>
        <v>0</v>
      </c>
      <c r="AA125" s="259">
        <f>'[4]10. Šport'!$AT$54</f>
        <v>0</v>
      </c>
      <c r="AB125" s="261">
        <f t="shared" si="230"/>
        <v>23500</v>
      </c>
      <c r="AC125" s="259">
        <f>'[4]10. Šport'!$AU$54</f>
        <v>23500</v>
      </c>
      <c r="AD125" s="259">
        <f>'[4]10. Šport'!$AV$54</f>
        <v>0</v>
      </c>
      <c r="AE125" s="260">
        <f>'[4]10. Šport'!$AW$54</f>
        <v>0</v>
      </c>
    </row>
    <row r="126" spans="1:31" ht="15.75" x14ac:dyDescent="0.25">
      <c r="B126" s="273">
        <v>4</v>
      </c>
      <c r="C126" s="274" t="s">
        <v>304</v>
      </c>
      <c r="D126" s="560">
        <f t="shared" si="224"/>
        <v>189436.77</v>
      </c>
      <c r="E126" s="561">
        <f>'[1]10. Šport'!$AF$66</f>
        <v>189436.77</v>
      </c>
      <c r="F126" s="561">
        <f>'[1]10. Šport'!$AG$66</f>
        <v>0</v>
      </c>
      <c r="G126" s="562">
        <f>'[1]10. Šport'!$AH$66</f>
        <v>0</v>
      </c>
      <c r="H126" s="560">
        <f t="shared" si="225"/>
        <v>209468.91999999998</v>
      </c>
      <c r="I126" s="561">
        <f>'[2]10. Šport'!$AI$66</f>
        <v>209468.91999999998</v>
      </c>
      <c r="J126" s="561">
        <f>'[2]10. Šport'!$AJ$66</f>
        <v>0</v>
      </c>
      <c r="K126" s="562">
        <f>'[2]10. Šport'!$AK$66</f>
        <v>0</v>
      </c>
      <c r="L126" s="261">
        <f t="shared" si="226"/>
        <v>263300</v>
      </c>
      <c r="M126" s="259">
        <f>'[3]10. Šport'!$AI$66</f>
        <v>263300</v>
      </c>
      <c r="N126" s="259">
        <f>'[3]10. Šport'!$AJ$66</f>
        <v>0</v>
      </c>
      <c r="O126" s="356">
        <f>'[3]10. Šport'!$AK$66</f>
        <v>0</v>
      </c>
      <c r="P126" s="261">
        <f t="shared" si="227"/>
        <v>263300</v>
      </c>
      <c r="Q126" s="259">
        <f>'[4]10. Šport'!$AL$66</f>
        <v>263300</v>
      </c>
      <c r="R126" s="259">
        <f>'[4]10. Šport'!$AM$66</f>
        <v>0</v>
      </c>
      <c r="S126" s="259">
        <f>'[4]10. Šport'!$AN$66</f>
        <v>0</v>
      </c>
      <c r="T126" s="261">
        <f t="shared" si="228"/>
        <v>87427.589999999982</v>
      </c>
      <c r="U126" s="259">
        <f>'[4]10. Šport'!$AO$66</f>
        <v>87427.589999999982</v>
      </c>
      <c r="V126" s="259">
        <f>'[4]10. Šport'!$AP$66</f>
        <v>0</v>
      </c>
      <c r="W126" s="259">
        <f>'[4]10. Šport'!$AQ$66</f>
        <v>0</v>
      </c>
      <c r="X126" s="261">
        <f t="shared" si="229"/>
        <v>0</v>
      </c>
      <c r="Y126" s="259">
        <f>'[4]10. Šport'!$AR$66</f>
        <v>0</v>
      </c>
      <c r="Z126" s="259">
        <f>'[4]10. Šport'!$AS$66</f>
        <v>0</v>
      </c>
      <c r="AA126" s="259">
        <f>'[4]10. Šport'!$AT$66</f>
        <v>0</v>
      </c>
      <c r="AB126" s="261">
        <f t="shared" si="230"/>
        <v>263300</v>
      </c>
      <c r="AC126" s="259">
        <f>'[4]10. Šport'!$AU$66</f>
        <v>263300</v>
      </c>
      <c r="AD126" s="259">
        <f>'[4]10. Šport'!$AV$66</f>
        <v>0</v>
      </c>
      <c r="AE126" s="260">
        <f>'[4]10. Šport'!$AW$66</f>
        <v>0</v>
      </c>
    </row>
    <row r="127" spans="1:31" ht="15.75" x14ac:dyDescent="0.25">
      <c r="B127" s="273">
        <v>5</v>
      </c>
      <c r="C127" s="274" t="s">
        <v>305</v>
      </c>
      <c r="D127" s="560">
        <f t="shared" si="224"/>
        <v>8843.67</v>
      </c>
      <c r="E127" s="561">
        <f>'[1]10. Šport'!$AF$87</f>
        <v>8843.67</v>
      </c>
      <c r="F127" s="561">
        <f>'[1]10. Šport'!$AG$87</f>
        <v>0</v>
      </c>
      <c r="G127" s="562">
        <f>'[1]10. Šport'!$AH$87</f>
        <v>0</v>
      </c>
      <c r="H127" s="560">
        <f t="shared" si="225"/>
        <v>10013.09</v>
      </c>
      <c r="I127" s="561">
        <f>'[2]10. Šport'!$AI$89</f>
        <v>10013.09</v>
      </c>
      <c r="J127" s="561">
        <f>'[2]10. Šport'!$AJ$89</f>
        <v>0</v>
      </c>
      <c r="K127" s="562">
        <f>'[2]10. Šport'!$AK$89</f>
        <v>0</v>
      </c>
      <c r="L127" s="261">
        <f t="shared" si="226"/>
        <v>11900</v>
      </c>
      <c r="M127" s="259">
        <f>'[3]10. Šport'!$AI$89</f>
        <v>11900</v>
      </c>
      <c r="N127" s="259">
        <f>'[3]10. Šport'!$AJ$89</f>
        <v>0</v>
      </c>
      <c r="O127" s="356">
        <f>'[3]10. Šport'!$AK$89</f>
        <v>0</v>
      </c>
      <c r="P127" s="261">
        <f t="shared" si="227"/>
        <v>17590</v>
      </c>
      <c r="Q127" s="259">
        <f>'[4]10. Šport'!$AL$89</f>
        <v>11900</v>
      </c>
      <c r="R127" s="259">
        <f>'[4]10. Šport'!$AM$89</f>
        <v>5690</v>
      </c>
      <c r="S127" s="259">
        <f>'[4]10. Šport'!$AN$89</f>
        <v>0</v>
      </c>
      <c r="T127" s="261">
        <f t="shared" si="228"/>
        <v>3199.6900000000005</v>
      </c>
      <c r="U127" s="259">
        <f>'[4]10. Šport'!$AO$89</f>
        <v>3199.6900000000005</v>
      </c>
      <c r="V127" s="259">
        <f>'[4]10. Šport'!$AP$89</f>
        <v>0</v>
      </c>
      <c r="W127" s="259">
        <f>'[4]10. Šport'!$AQ$89</f>
        <v>0</v>
      </c>
      <c r="X127" s="261">
        <f t="shared" si="229"/>
        <v>0</v>
      </c>
      <c r="Y127" s="259">
        <f>'[4]10. Šport'!$AR$89</f>
        <v>0</v>
      </c>
      <c r="Z127" s="259">
        <f>'[4]10. Šport'!$AS$89</f>
        <v>0</v>
      </c>
      <c r="AA127" s="259">
        <f>'[4]10. Šport'!$AT$89</f>
        <v>0</v>
      </c>
      <c r="AB127" s="261">
        <f t="shared" si="230"/>
        <v>17590</v>
      </c>
      <c r="AC127" s="259">
        <f>'[4]10. Šport'!$AU$89</f>
        <v>11900</v>
      </c>
      <c r="AD127" s="259">
        <f>'[4]10. Šport'!$AV$89</f>
        <v>5690</v>
      </c>
      <c r="AE127" s="260">
        <f>'[4]10. Šport'!$AW$89</f>
        <v>0</v>
      </c>
    </row>
    <row r="128" spans="1:31" ht="15.75" x14ac:dyDescent="0.25">
      <c r="B128" s="289">
        <v>6</v>
      </c>
      <c r="C128" s="290" t="s">
        <v>386</v>
      </c>
      <c r="D128" s="560">
        <f t="shared" si="224"/>
        <v>110</v>
      </c>
      <c r="E128" s="561">
        <f>'[1]10. Šport'!$AF$95</f>
        <v>110</v>
      </c>
      <c r="F128" s="561">
        <f>'[1]10. Šport'!$AG$95</f>
        <v>0</v>
      </c>
      <c r="G128" s="562">
        <f>'[1]10. Šport'!$AH$95</f>
        <v>0</v>
      </c>
      <c r="H128" s="560">
        <f t="shared" si="225"/>
        <v>570.21</v>
      </c>
      <c r="I128" s="561">
        <f>'[2]10. Šport'!$AI$97</f>
        <v>570.21</v>
      </c>
      <c r="J128" s="561">
        <f>'[2]10. Šport'!$AJ$97</f>
        <v>0</v>
      </c>
      <c r="K128" s="562">
        <f>'[2]10. Šport'!$AK$97</f>
        <v>0</v>
      </c>
      <c r="L128" s="261">
        <f t="shared" si="226"/>
        <v>551000</v>
      </c>
      <c r="M128" s="259">
        <f>'[3]10. Šport'!$AI$97</f>
        <v>1000</v>
      </c>
      <c r="N128" s="259">
        <f>'[3]10. Šport'!$AJ$97</f>
        <v>550000</v>
      </c>
      <c r="O128" s="356">
        <f>'[3]10. Šport'!$AK$97</f>
        <v>0</v>
      </c>
      <c r="P128" s="261">
        <f t="shared" si="227"/>
        <v>551000</v>
      </c>
      <c r="Q128" s="259">
        <f>'[4]10. Šport'!$AL$97</f>
        <v>1000</v>
      </c>
      <c r="R128" s="259">
        <f>'[4]10. Šport'!$AM$97</f>
        <v>550000</v>
      </c>
      <c r="S128" s="259">
        <f>'[4]10. Šport'!$AN$97</f>
        <v>0</v>
      </c>
      <c r="T128" s="261">
        <f t="shared" si="228"/>
        <v>148.63999999999999</v>
      </c>
      <c r="U128" s="259">
        <f>'[4]10. Šport'!$AO$97</f>
        <v>148.63999999999999</v>
      </c>
      <c r="V128" s="259">
        <f>'[4]10. Šport'!$AP$97</f>
        <v>0</v>
      </c>
      <c r="W128" s="259">
        <f>'[4]10. Šport'!$AQ$97</f>
        <v>0</v>
      </c>
      <c r="X128" s="261">
        <f t="shared" si="229"/>
        <v>0</v>
      </c>
      <c r="Y128" s="259">
        <f>'[4]10. Šport'!$AR$97</f>
        <v>0</v>
      </c>
      <c r="Z128" s="259">
        <f>'[4]10. Šport'!$AS$97</f>
        <v>0</v>
      </c>
      <c r="AA128" s="259">
        <f>'[4]10. Šport'!$AT$97</f>
        <v>0</v>
      </c>
      <c r="AB128" s="261">
        <f t="shared" si="230"/>
        <v>551000</v>
      </c>
      <c r="AC128" s="259">
        <f>'[4]10. Šport'!$AU$97</f>
        <v>1000</v>
      </c>
      <c r="AD128" s="259">
        <f>'[4]10. Šport'!$AV$97</f>
        <v>550000</v>
      </c>
      <c r="AE128" s="260">
        <f>'[4]10. Šport'!$AW$97</f>
        <v>0</v>
      </c>
    </row>
    <row r="129" spans="2:31" ht="15.75" x14ac:dyDescent="0.25">
      <c r="B129" s="289">
        <v>7</v>
      </c>
      <c r="C129" s="290" t="s">
        <v>456</v>
      </c>
      <c r="D129" s="560">
        <f t="shared" si="224"/>
        <v>24167.57</v>
      </c>
      <c r="E129" s="561">
        <f>'[1]10. Šport'!$AF$101</f>
        <v>24167.57</v>
      </c>
      <c r="F129" s="561">
        <f>'[1]10. Šport'!$AG$101</f>
        <v>0</v>
      </c>
      <c r="G129" s="562">
        <f>'[1]10. Šport'!$AH$101</f>
        <v>0</v>
      </c>
      <c r="H129" s="560">
        <f t="shared" si="225"/>
        <v>17094.16</v>
      </c>
      <c r="I129" s="561">
        <f>'[2]10. Šport'!$AI$103</f>
        <v>17094.16</v>
      </c>
      <c r="J129" s="561">
        <f>'[2]10. Šport'!$AJ$103</f>
        <v>0</v>
      </c>
      <c r="K129" s="562">
        <f>'[2]10. Šport'!$AK$103</f>
        <v>0</v>
      </c>
      <c r="L129" s="261">
        <f t="shared" si="226"/>
        <v>5000</v>
      </c>
      <c r="M129" s="259">
        <f>'[3]10. Šport'!$AI$103</f>
        <v>5000</v>
      </c>
      <c r="N129" s="259">
        <f>'[3]10. Šport'!$AJ$103</f>
        <v>0</v>
      </c>
      <c r="O129" s="356">
        <f>'[3]10. Šport'!$AK$103</f>
        <v>0</v>
      </c>
      <c r="P129" s="261">
        <f t="shared" si="227"/>
        <v>11000</v>
      </c>
      <c r="Q129" s="259">
        <f>'[4]10. Šport'!$AL$103</f>
        <v>11000</v>
      </c>
      <c r="R129" s="259">
        <f>'[4]10. Šport'!$AM$103</f>
        <v>0</v>
      </c>
      <c r="S129" s="259">
        <f>'[4]10. Šport'!$AN$103</f>
        <v>0</v>
      </c>
      <c r="T129" s="261">
        <f t="shared" si="228"/>
        <v>6426.28</v>
      </c>
      <c r="U129" s="259">
        <f>'[4]10. Šport'!$AO$103</f>
        <v>6426.28</v>
      </c>
      <c r="V129" s="259">
        <f>'[4]10. Šport'!$AP$103</f>
        <v>0</v>
      </c>
      <c r="W129" s="259">
        <f>'[4]10. Šport'!$AQ$103</f>
        <v>0</v>
      </c>
      <c r="X129" s="261">
        <f t="shared" si="229"/>
        <v>0</v>
      </c>
      <c r="Y129" s="259">
        <f>'[4]10. Šport'!$AR$103</f>
        <v>0</v>
      </c>
      <c r="Z129" s="259">
        <f>'[4]10. Šport'!$AS$103</f>
        <v>0</v>
      </c>
      <c r="AA129" s="259">
        <f>'[4]10. Šport'!$AT$103</f>
        <v>0</v>
      </c>
      <c r="AB129" s="261">
        <f t="shared" si="230"/>
        <v>11000</v>
      </c>
      <c r="AC129" s="259">
        <f>'[4]10. Šport'!$AU$103</f>
        <v>11000</v>
      </c>
      <c r="AD129" s="259">
        <f>'[4]10. Šport'!$AV$103</f>
        <v>0</v>
      </c>
      <c r="AE129" s="260">
        <f>'[4]10. Šport'!$AW$103</f>
        <v>0</v>
      </c>
    </row>
    <row r="130" spans="2:31" ht="16.5" thickBot="1" x14ac:dyDescent="0.3">
      <c r="B130" s="280" t="s">
        <v>306</v>
      </c>
      <c r="C130" s="276" t="s">
        <v>307</v>
      </c>
      <c r="D130" s="563">
        <f t="shared" si="224"/>
        <v>2800</v>
      </c>
      <c r="E130" s="564">
        <f>'[1]10. Šport'!$AF$109</f>
        <v>2800</v>
      </c>
      <c r="F130" s="564">
        <f>'[1]10. Šport'!$AG$109</f>
        <v>0</v>
      </c>
      <c r="G130" s="565">
        <f>'[1]10. Šport'!$AH$109</f>
        <v>0</v>
      </c>
      <c r="H130" s="563">
        <f t="shared" si="225"/>
        <v>5000</v>
      </c>
      <c r="I130" s="564">
        <f>'[2]10. Šport'!$AI$111</f>
        <v>5000</v>
      </c>
      <c r="J130" s="564">
        <f>'[2]10. Šport'!$AJ$111</f>
        <v>0</v>
      </c>
      <c r="K130" s="565">
        <f>'[2]10. Šport'!$AK$111</f>
        <v>0</v>
      </c>
      <c r="L130" s="269">
        <f t="shared" si="226"/>
        <v>5000</v>
      </c>
      <c r="M130" s="270">
        <f>'[3]10. Šport'!$AI$111</f>
        <v>5000</v>
      </c>
      <c r="N130" s="270">
        <f>'[3]10. Šport'!$AJ$111</f>
        <v>0</v>
      </c>
      <c r="O130" s="641">
        <f>'[3]10. Šport'!$AK$111</f>
        <v>0</v>
      </c>
      <c r="P130" s="269">
        <f t="shared" si="227"/>
        <v>5000</v>
      </c>
      <c r="Q130" s="270">
        <f>'[4]10. Šport'!$AL$111</f>
        <v>5000</v>
      </c>
      <c r="R130" s="270">
        <f>'[4]10. Šport'!$AM$111</f>
        <v>0</v>
      </c>
      <c r="S130" s="270">
        <f>'[4]10. Šport'!$AN$111</f>
        <v>0</v>
      </c>
      <c r="T130" s="269">
        <f t="shared" si="228"/>
        <v>1800</v>
      </c>
      <c r="U130" s="270">
        <f>'[4]10. Šport'!$AO$111</f>
        <v>1800</v>
      </c>
      <c r="V130" s="270">
        <f>'[4]10. Šport'!$AP$111</f>
        <v>0</v>
      </c>
      <c r="W130" s="270">
        <f>'[4]10. Šport'!$AQ$111</f>
        <v>0</v>
      </c>
      <c r="X130" s="269">
        <f t="shared" si="229"/>
        <v>0</v>
      </c>
      <c r="Y130" s="270">
        <f>'[4]10. Šport'!$AR$111</f>
        <v>0</v>
      </c>
      <c r="Z130" s="270">
        <f>'[4]10. Šport'!$AS$111</f>
        <v>0</v>
      </c>
      <c r="AA130" s="270">
        <f>'[4]10. Šport'!$AT$111</f>
        <v>0</v>
      </c>
      <c r="AB130" s="269">
        <f t="shared" si="230"/>
        <v>5000</v>
      </c>
      <c r="AC130" s="270">
        <f>'[4]10. Šport'!$AU$111</f>
        <v>5000</v>
      </c>
      <c r="AD130" s="270">
        <f>'[4]10. Šport'!$AV$111</f>
        <v>0</v>
      </c>
      <c r="AE130" s="303">
        <f>'[4]10. Šport'!$AW$111</f>
        <v>0</v>
      </c>
    </row>
    <row r="131" spans="2:31" s="123" customFormat="1" ht="15.75" x14ac:dyDescent="0.25">
      <c r="B131" s="277" t="s">
        <v>308</v>
      </c>
      <c r="C131" s="284"/>
      <c r="D131" s="557">
        <f t="shared" ref="D131:G131" si="231">D132+D133+D138+D139</f>
        <v>1460282.6399999997</v>
      </c>
      <c r="E131" s="558">
        <f t="shared" si="231"/>
        <v>962608.31999999972</v>
      </c>
      <c r="F131" s="558">
        <f t="shared" si="231"/>
        <v>497674.32</v>
      </c>
      <c r="G131" s="559">
        <f t="shared" si="231"/>
        <v>0</v>
      </c>
      <c r="H131" s="557">
        <f t="shared" ref="H131:K131" si="232">H132+H133+H138+H139</f>
        <v>1241746.5799999998</v>
      </c>
      <c r="I131" s="558">
        <f t="shared" si="232"/>
        <v>944746.57999999984</v>
      </c>
      <c r="J131" s="558">
        <f t="shared" si="232"/>
        <v>297000</v>
      </c>
      <c r="K131" s="559">
        <f t="shared" si="232"/>
        <v>0</v>
      </c>
      <c r="L131" s="267">
        <f t="shared" ref="L131:S131" si="233">L132+L133+L138+L139</f>
        <v>1751070</v>
      </c>
      <c r="M131" s="268">
        <f t="shared" si="233"/>
        <v>1055740</v>
      </c>
      <c r="N131" s="268">
        <f t="shared" si="233"/>
        <v>695330</v>
      </c>
      <c r="O131" s="355">
        <f t="shared" si="233"/>
        <v>0</v>
      </c>
      <c r="P131" s="267">
        <f t="shared" si="233"/>
        <v>1772987</v>
      </c>
      <c r="Q131" s="268">
        <f t="shared" si="233"/>
        <v>1049093</v>
      </c>
      <c r="R131" s="268">
        <f t="shared" si="233"/>
        <v>723894</v>
      </c>
      <c r="S131" s="355">
        <f t="shared" si="233"/>
        <v>0</v>
      </c>
      <c r="T131" s="267">
        <f t="shared" ref="T131:W131" si="234">T132+T133+T138+T139</f>
        <v>531094.68000000005</v>
      </c>
      <c r="U131" s="268">
        <f t="shared" si="234"/>
        <v>284502.75999999995</v>
      </c>
      <c r="V131" s="268">
        <f t="shared" si="234"/>
        <v>246591.92</v>
      </c>
      <c r="W131" s="355">
        <f t="shared" si="234"/>
        <v>0</v>
      </c>
      <c r="X131" s="267">
        <f t="shared" ref="X131:AE131" si="235">X132+X133+X138+X139</f>
        <v>-405270</v>
      </c>
      <c r="Y131" s="268">
        <f t="shared" si="235"/>
        <v>-5270</v>
      </c>
      <c r="Z131" s="268">
        <f t="shared" si="235"/>
        <v>-400000</v>
      </c>
      <c r="AA131" s="355">
        <f t="shared" si="235"/>
        <v>0</v>
      </c>
      <c r="AB131" s="267">
        <f t="shared" si="235"/>
        <v>1367717</v>
      </c>
      <c r="AC131" s="268">
        <f t="shared" si="235"/>
        <v>1043823</v>
      </c>
      <c r="AD131" s="268">
        <f t="shared" si="235"/>
        <v>323894</v>
      </c>
      <c r="AE131" s="355">
        <f t="shared" si="235"/>
        <v>0</v>
      </c>
    </row>
    <row r="132" spans="2:31" ht="15.75" x14ac:dyDescent="0.25">
      <c r="B132" s="285" t="s">
        <v>309</v>
      </c>
      <c r="C132" s="274" t="s">
        <v>310</v>
      </c>
      <c r="D132" s="560">
        <f>SUM(E132:G132)</f>
        <v>11073.48</v>
      </c>
      <c r="E132" s="561">
        <f>'[1]11. Kultúra'!$AF$4</f>
        <v>11073.48</v>
      </c>
      <c r="F132" s="561">
        <f>'[1]11. Kultúra'!$AG$4</f>
        <v>0</v>
      </c>
      <c r="G132" s="562">
        <f>'[1]11. Kultúra'!$AH$4</f>
        <v>0</v>
      </c>
      <c r="H132" s="560">
        <f>SUM(I132:K132)</f>
        <v>14812.970000000001</v>
      </c>
      <c r="I132" s="561">
        <f>'[2]11. Kultúra'!$AI$4</f>
        <v>14812.970000000001</v>
      </c>
      <c r="J132" s="561">
        <f>'[2]11. Kultúra'!$AJ$4</f>
        <v>0</v>
      </c>
      <c r="K132" s="562">
        <f>'[2]11. Kultúra'!$AK$4</f>
        <v>0</v>
      </c>
      <c r="L132" s="261">
        <f>SUM(M132:O132)</f>
        <v>20000</v>
      </c>
      <c r="M132" s="259">
        <f>'[3]11. Kultúra'!$AI$4</f>
        <v>20000</v>
      </c>
      <c r="N132" s="259">
        <f>'[3]11. Kultúra'!$AJ$4</f>
        <v>0</v>
      </c>
      <c r="O132" s="356">
        <f>'[3]11. Kultúra'!$AK$4</f>
        <v>0</v>
      </c>
      <c r="P132" s="261">
        <f>SUM(Q132:S132)</f>
        <v>19250</v>
      </c>
      <c r="Q132" s="259">
        <f>'[4]11. Kultúra'!$AL$4</f>
        <v>19250</v>
      </c>
      <c r="R132" s="259">
        <f>'[4]11. Kultúra'!$AM$4</f>
        <v>0</v>
      </c>
      <c r="S132" s="259">
        <f>'[4]11. Kultúra'!$AN$4</f>
        <v>0</v>
      </c>
      <c r="T132" s="261">
        <f>SUM(U132:W132)</f>
        <v>1817.7800000000002</v>
      </c>
      <c r="U132" s="259">
        <f>'[4]11. Kultúra'!$AO$4</f>
        <v>1817.7800000000002</v>
      </c>
      <c r="V132" s="259">
        <f>'[4]11. Kultúra'!$AP$4</f>
        <v>0</v>
      </c>
      <c r="W132" s="259">
        <f>'[4]11. Kultúra'!$AQ$4</f>
        <v>0</v>
      </c>
      <c r="X132" s="261">
        <f>SUM(Y132:AA132)</f>
        <v>750</v>
      </c>
      <c r="Y132" s="259">
        <f>'[4]11. Kultúra'!$AR$4</f>
        <v>750</v>
      </c>
      <c r="Z132" s="259">
        <f>'[4]11. Kultúra'!$AS$4</f>
        <v>0</v>
      </c>
      <c r="AA132" s="259">
        <f>'[4]11. Kultúra'!$AT$4</f>
        <v>0</v>
      </c>
      <c r="AB132" s="261">
        <f>SUM(AC132:AE132)</f>
        <v>20000</v>
      </c>
      <c r="AC132" s="259">
        <f>'[4]11. Kultúra'!$AU$4</f>
        <v>20000</v>
      </c>
      <c r="AD132" s="259">
        <f>'[4]11. Kultúra'!$AV$4</f>
        <v>0</v>
      </c>
      <c r="AE132" s="260">
        <f>'[4]11. Kultúra'!$AW$4</f>
        <v>0</v>
      </c>
    </row>
    <row r="133" spans="2:31" ht="15.75" x14ac:dyDescent="0.25">
      <c r="B133" s="285" t="s">
        <v>311</v>
      </c>
      <c r="C133" s="274" t="s">
        <v>312</v>
      </c>
      <c r="D133" s="560">
        <f t="shared" ref="D133:G133" si="236">SUM(D134:D137)</f>
        <v>1446409.1599999997</v>
      </c>
      <c r="E133" s="561">
        <f t="shared" si="236"/>
        <v>948734.83999999973</v>
      </c>
      <c r="F133" s="561">
        <f t="shared" si="236"/>
        <v>497674.32</v>
      </c>
      <c r="G133" s="562">
        <f t="shared" si="236"/>
        <v>0</v>
      </c>
      <c r="H133" s="560">
        <f t="shared" ref="H133:K133" si="237">SUM(H134:H137)</f>
        <v>1221933.6099999999</v>
      </c>
      <c r="I133" s="561">
        <f t="shared" si="237"/>
        <v>924933.60999999987</v>
      </c>
      <c r="J133" s="561">
        <f t="shared" si="237"/>
        <v>297000</v>
      </c>
      <c r="K133" s="562">
        <f t="shared" si="237"/>
        <v>0</v>
      </c>
      <c r="L133" s="261">
        <f t="shared" ref="L133:S133" si="238">SUM(L134:L137)</f>
        <v>1325570</v>
      </c>
      <c r="M133" s="259">
        <f t="shared" si="238"/>
        <v>1030240</v>
      </c>
      <c r="N133" s="259">
        <f t="shared" si="238"/>
        <v>295330</v>
      </c>
      <c r="O133" s="356">
        <f t="shared" si="238"/>
        <v>0</v>
      </c>
      <c r="P133" s="261">
        <f t="shared" si="238"/>
        <v>1348237</v>
      </c>
      <c r="Q133" s="259">
        <f t="shared" si="238"/>
        <v>1024343</v>
      </c>
      <c r="R133" s="259">
        <f t="shared" si="238"/>
        <v>323894</v>
      </c>
      <c r="S133" s="356">
        <f t="shared" si="238"/>
        <v>0</v>
      </c>
      <c r="T133" s="261">
        <f t="shared" ref="T133:W133" si="239">SUM(T134:T137)</f>
        <v>528676.9</v>
      </c>
      <c r="U133" s="259">
        <f t="shared" si="239"/>
        <v>282084.97999999992</v>
      </c>
      <c r="V133" s="259">
        <f t="shared" si="239"/>
        <v>246591.92</v>
      </c>
      <c r="W133" s="356">
        <f t="shared" si="239"/>
        <v>0</v>
      </c>
      <c r="X133" s="261">
        <f t="shared" ref="X133:AE133" si="240">SUM(X134:X137)</f>
        <v>-11100</v>
      </c>
      <c r="Y133" s="259">
        <f t="shared" si="240"/>
        <v>-11100</v>
      </c>
      <c r="Z133" s="259">
        <f t="shared" si="240"/>
        <v>0</v>
      </c>
      <c r="AA133" s="356">
        <f t="shared" si="240"/>
        <v>0</v>
      </c>
      <c r="AB133" s="261">
        <f t="shared" si="240"/>
        <v>1337137</v>
      </c>
      <c r="AC133" s="259">
        <f t="shared" si="240"/>
        <v>1013243</v>
      </c>
      <c r="AD133" s="259">
        <f t="shared" si="240"/>
        <v>323894</v>
      </c>
      <c r="AE133" s="356">
        <f t="shared" si="240"/>
        <v>0</v>
      </c>
    </row>
    <row r="134" spans="2:31" ht="15.75" x14ac:dyDescent="0.25">
      <c r="B134" s="273">
        <v>1</v>
      </c>
      <c r="C134" s="274" t="s">
        <v>313</v>
      </c>
      <c r="D134" s="560">
        <f t="shared" ref="D134:D139" si="241">SUM(E134:G134)</f>
        <v>196616.62</v>
      </c>
      <c r="E134" s="561">
        <f>'[1]11. Kultúra'!$AF$20</f>
        <v>196616.62</v>
      </c>
      <c r="F134" s="561">
        <f>'[1]11. Kultúra'!$AG$20</f>
        <v>0</v>
      </c>
      <c r="G134" s="562">
        <f>'[1]11. Kultúra'!$AH$20</f>
        <v>0</v>
      </c>
      <c r="H134" s="560">
        <f t="shared" ref="H134:H139" si="242">SUM(I134:K134)</f>
        <v>197817.13</v>
      </c>
      <c r="I134" s="561">
        <f>'[2]11. Kultúra'!$AI$20</f>
        <v>197817.13</v>
      </c>
      <c r="J134" s="561">
        <f>'[2]11. Kultúra'!$AJ$20</f>
        <v>0</v>
      </c>
      <c r="K134" s="562">
        <f>'[2]11. Kultúra'!$AK$20</f>
        <v>0</v>
      </c>
      <c r="L134" s="261">
        <f t="shared" ref="L134:L139" si="243">SUM(M134:O134)</f>
        <v>205500</v>
      </c>
      <c r="M134" s="259">
        <f>'[3]11. Kultúra'!$AI$20</f>
        <v>205500</v>
      </c>
      <c r="N134" s="259">
        <f>'[3]11. Kultúra'!$AJ$20</f>
        <v>0</v>
      </c>
      <c r="O134" s="356">
        <f>'[3]11. Kultúra'!$AK$20</f>
        <v>0</v>
      </c>
      <c r="P134" s="261">
        <f t="shared" ref="P134:P139" si="244">SUM(Q134:S134)</f>
        <v>205500</v>
      </c>
      <c r="Q134" s="259">
        <f>'[4]11. Kultúra'!$AL$20</f>
        <v>205500</v>
      </c>
      <c r="R134" s="259">
        <f>'[4]11. Kultúra'!$AM$20</f>
        <v>0</v>
      </c>
      <c r="S134" s="259">
        <f>'[4]11. Kultúra'!$AN$20</f>
        <v>0</v>
      </c>
      <c r="T134" s="261">
        <f t="shared" ref="T134:T139" si="245">SUM(U134:W134)</f>
        <v>64485.79</v>
      </c>
      <c r="U134" s="259">
        <f>'[4]11. Kultúra'!$AO$20</f>
        <v>64485.79</v>
      </c>
      <c r="V134" s="259">
        <f>'[4]11. Kultúra'!$AP$20</f>
        <v>0</v>
      </c>
      <c r="W134" s="259">
        <f>'[4]11. Kultúra'!$AQ$20</f>
        <v>0</v>
      </c>
      <c r="X134" s="261">
        <f t="shared" ref="X134:X139" si="246">SUM(Y134:AA134)</f>
        <v>-3000</v>
      </c>
      <c r="Y134" s="259">
        <f>'[4]11. Kultúra'!$AR$20</f>
        <v>-3000</v>
      </c>
      <c r="Z134" s="259">
        <f>'[4]11. Kultúra'!$AS$20</f>
        <v>0</v>
      </c>
      <c r="AA134" s="259">
        <f>'[4]11. Kultúra'!$AT$20</f>
        <v>0</v>
      </c>
      <c r="AB134" s="261">
        <f t="shared" ref="AB134:AB139" si="247">SUM(AC134:AE134)</f>
        <v>202500</v>
      </c>
      <c r="AC134" s="259">
        <f>'[4]11. Kultúra'!$AU$20</f>
        <v>202500</v>
      </c>
      <c r="AD134" s="259">
        <f>'[4]11. Kultúra'!$AV$20</f>
        <v>0</v>
      </c>
      <c r="AE134" s="260">
        <f>'[4]11. Kultúra'!$AW$20</f>
        <v>0</v>
      </c>
    </row>
    <row r="135" spans="2:31" ht="15.75" x14ac:dyDescent="0.25">
      <c r="B135" s="273">
        <v>2</v>
      </c>
      <c r="C135" s="274" t="s">
        <v>314</v>
      </c>
      <c r="D135" s="560">
        <f t="shared" si="241"/>
        <v>289</v>
      </c>
      <c r="E135" s="561">
        <f>'[1]11. Kultúra'!$AF$27</f>
        <v>289</v>
      </c>
      <c r="F135" s="561">
        <f>'[1]11. Kultúra'!$AG$27</f>
        <v>0</v>
      </c>
      <c r="G135" s="562">
        <f>'[1]11. Kultúra'!$AH$27</f>
        <v>0</v>
      </c>
      <c r="H135" s="560">
        <f t="shared" si="242"/>
        <v>2114.19</v>
      </c>
      <c r="I135" s="561">
        <f>'[2]11. Kultúra'!$AI$27</f>
        <v>2114.19</v>
      </c>
      <c r="J135" s="561">
        <f>'[2]11. Kultúra'!$AJ$27</f>
        <v>0</v>
      </c>
      <c r="K135" s="562">
        <f>'[2]11. Kultúra'!$AK$27</f>
        <v>0</v>
      </c>
      <c r="L135" s="261">
        <f t="shared" si="243"/>
        <v>26850</v>
      </c>
      <c r="M135" s="259">
        <f>'[3]11. Kultúra'!$AI$27</f>
        <v>8700</v>
      </c>
      <c r="N135" s="259">
        <f>'[3]11. Kultúra'!$AJ$27</f>
        <v>18150</v>
      </c>
      <c r="O135" s="356">
        <f>'[3]11. Kultúra'!$AK$27</f>
        <v>0</v>
      </c>
      <c r="P135" s="261">
        <f t="shared" si="244"/>
        <v>45350</v>
      </c>
      <c r="Q135" s="259">
        <f>'[4]11. Kultúra'!$AL$27</f>
        <v>7700</v>
      </c>
      <c r="R135" s="259">
        <f>'[4]11. Kultúra'!$AM$27</f>
        <v>37650</v>
      </c>
      <c r="S135" s="259">
        <f>'[4]11. Kultúra'!$AN$27</f>
        <v>0</v>
      </c>
      <c r="T135" s="261">
        <f t="shared" si="245"/>
        <v>658.9</v>
      </c>
      <c r="U135" s="259">
        <f>'[4]11. Kultúra'!$AO$27</f>
        <v>658.9</v>
      </c>
      <c r="V135" s="259">
        <f>'[4]11. Kultúra'!$AP$27</f>
        <v>0</v>
      </c>
      <c r="W135" s="259">
        <f>'[4]11. Kultúra'!$AQ$27</f>
        <v>0</v>
      </c>
      <c r="X135" s="261">
        <f t="shared" si="246"/>
        <v>-4000</v>
      </c>
      <c r="Y135" s="259">
        <f>'[4]11. Kultúra'!$AR$27</f>
        <v>-4000</v>
      </c>
      <c r="Z135" s="259">
        <f>'[4]11. Kultúra'!$AS$27</f>
        <v>0</v>
      </c>
      <c r="AA135" s="259">
        <f>'[4]11. Kultúra'!$AT$27</f>
        <v>0</v>
      </c>
      <c r="AB135" s="261">
        <f t="shared" si="247"/>
        <v>41350</v>
      </c>
      <c r="AC135" s="259">
        <f>'[4]11. Kultúra'!$AU$27</f>
        <v>3700</v>
      </c>
      <c r="AD135" s="259">
        <f>'[4]11. Kultúra'!$AV$27</f>
        <v>37650</v>
      </c>
      <c r="AE135" s="260">
        <f>'[4]11. Kultúra'!$AW$27</f>
        <v>0</v>
      </c>
    </row>
    <row r="136" spans="2:31" ht="15.75" x14ac:dyDescent="0.25">
      <c r="B136" s="273">
        <v>3</v>
      </c>
      <c r="C136" s="274" t="s">
        <v>315</v>
      </c>
      <c r="D136" s="560">
        <f t="shared" si="241"/>
        <v>1243893.9199999997</v>
      </c>
      <c r="E136" s="561">
        <f>'[1]11. Kultúra'!$AF$37</f>
        <v>746219.59999999974</v>
      </c>
      <c r="F136" s="561">
        <f>'[1]11. Kultúra'!$AG$37</f>
        <v>497674.32</v>
      </c>
      <c r="G136" s="562">
        <f>'[1]11. Kultúra'!$AH$37</f>
        <v>0</v>
      </c>
      <c r="H136" s="560">
        <f t="shared" si="242"/>
        <v>1009766.5799999998</v>
      </c>
      <c r="I136" s="561">
        <f>'[2]11. Kultúra'!$AI$37</f>
        <v>712766.57999999984</v>
      </c>
      <c r="J136" s="561">
        <f>'[2]11. Kultúra'!$AJ$37</f>
        <v>297000</v>
      </c>
      <c r="K136" s="562">
        <f>'[2]11. Kultúra'!$AK$37</f>
        <v>0</v>
      </c>
      <c r="L136" s="261">
        <f t="shared" si="243"/>
        <v>1077920</v>
      </c>
      <c r="M136" s="259">
        <f>'[3]11. Kultúra'!$AI$37</f>
        <v>800740</v>
      </c>
      <c r="N136" s="259">
        <f>'[3]11. Kultúra'!$AJ$37</f>
        <v>277180</v>
      </c>
      <c r="O136" s="356">
        <f>'[3]11. Kultúra'!$AK$37</f>
        <v>0</v>
      </c>
      <c r="P136" s="261">
        <f t="shared" si="244"/>
        <v>1082087</v>
      </c>
      <c r="Q136" s="259">
        <f>'[4]11. Kultúra'!$AL$37</f>
        <v>795843</v>
      </c>
      <c r="R136" s="259">
        <f>'[4]11. Kultúra'!$AM$37</f>
        <v>286244</v>
      </c>
      <c r="S136" s="259">
        <f>'[4]11. Kultúra'!$AN$37</f>
        <v>0</v>
      </c>
      <c r="T136" s="261">
        <f t="shared" si="245"/>
        <v>460169.29999999993</v>
      </c>
      <c r="U136" s="259">
        <f>'[4]11. Kultúra'!$AO$37</f>
        <v>213577.37999999995</v>
      </c>
      <c r="V136" s="259">
        <f>'[4]11. Kultúra'!$AP$37</f>
        <v>246591.92</v>
      </c>
      <c r="W136" s="259">
        <f>'[4]11. Kultúra'!$AQ$37</f>
        <v>0</v>
      </c>
      <c r="X136" s="261">
        <f t="shared" si="246"/>
        <v>-4100</v>
      </c>
      <c r="Y136" s="259">
        <f>'[4]11. Kultúra'!$AR$37</f>
        <v>-4100</v>
      </c>
      <c r="Z136" s="259">
        <f>'[4]11. Kultúra'!$AS$37</f>
        <v>0</v>
      </c>
      <c r="AA136" s="259">
        <f>'[4]11. Kultúra'!$AT$37</f>
        <v>0</v>
      </c>
      <c r="AB136" s="261">
        <f t="shared" si="247"/>
        <v>1077987</v>
      </c>
      <c r="AC136" s="259">
        <f>'[4]11. Kultúra'!$AU$37</f>
        <v>791743</v>
      </c>
      <c r="AD136" s="259">
        <f>'[4]11. Kultúra'!$AV$37</f>
        <v>286244</v>
      </c>
      <c r="AE136" s="260">
        <f>'[4]11. Kultúra'!$AW$37</f>
        <v>0</v>
      </c>
    </row>
    <row r="137" spans="2:31" ht="15.75" x14ac:dyDescent="0.25">
      <c r="B137" s="273">
        <v>4</v>
      </c>
      <c r="C137" s="274" t="s">
        <v>316</v>
      </c>
      <c r="D137" s="560">
        <f t="shared" si="241"/>
        <v>5609.619999999999</v>
      </c>
      <c r="E137" s="561">
        <f>'[1]11. Kultúra'!$AF$126</f>
        <v>5609.619999999999</v>
      </c>
      <c r="F137" s="561">
        <f>'[1]11. Kultúra'!$AG$126</f>
        <v>0</v>
      </c>
      <c r="G137" s="562">
        <f>'[1]11. Kultúra'!$AH$126</f>
        <v>0</v>
      </c>
      <c r="H137" s="560">
        <f t="shared" si="242"/>
        <v>12235.710000000001</v>
      </c>
      <c r="I137" s="561">
        <f>'[2]11. Kultúra'!$AI$126</f>
        <v>12235.710000000001</v>
      </c>
      <c r="J137" s="561">
        <f>'[2]11. Kultúra'!$AJ$126</f>
        <v>0</v>
      </c>
      <c r="K137" s="562">
        <f>'[2]11. Kultúra'!$AK$126</f>
        <v>0</v>
      </c>
      <c r="L137" s="261">
        <f t="shared" si="243"/>
        <v>15300</v>
      </c>
      <c r="M137" s="259">
        <f>'[3]11. Kultúra'!$AI$126</f>
        <v>15300</v>
      </c>
      <c r="N137" s="259">
        <f>'[3]11. Kultúra'!$AJ$126</f>
        <v>0</v>
      </c>
      <c r="O137" s="356">
        <f>'[3]11. Kultúra'!$AK$126</f>
        <v>0</v>
      </c>
      <c r="P137" s="261">
        <f t="shared" si="244"/>
        <v>15300</v>
      </c>
      <c r="Q137" s="259">
        <f>'[4]11. Kultúra'!$AL$126</f>
        <v>15300</v>
      </c>
      <c r="R137" s="259">
        <f>'[4]11. Kultúra'!$AM$126</f>
        <v>0</v>
      </c>
      <c r="S137" s="259">
        <f>'[4]11. Kultúra'!$AN$126</f>
        <v>0</v>
      </c>
      <c r="T137" s="261">
        <f t="shared" si="245"/>
        <v>3362.91</v>
      </c>
      <c r="U137" s="259">
        <f>'[4]11. Kultúra'!$AO$126</f>
        <v>3362.91</v>
      </c>
      <c r="V137" s="259">
        <f>'[4]11. Kultúra'!$AP$126</f>
        <v>0</v>
      </c>
      <c r="W137" s="259">
        <f>'[4]11. Kultúra'!$AQ$126</f>
        <v>0</v>
      </c>
      <c r="X137" s="261">
        <f t="shared" si="246"/>
        <v>0</v>
      </c>
      <c r="Y137" s="259">
        <f>'[4]11. Kultúra'!$AR$126</f>
        <v>0</v>
      </c>
      <c r="Z137" s="259">
        <f>'[4]11. Kultúra'!$AS$126</f>
        <v>0</v>
      </c>
      <c r="AA137" s="259">
        <f>'[4]11. Kultúra'!$AT$126</f>
        <v>0</v>
      </c>
      <c r="AB137" s="261">
        <f t="shared" si="247"/>
        <v>15300</v>
      </c>
      <c r="AC137" s="259">
        <f>'[4]11. Kultúra'!$AU$126</f>
        <v>15300</v>
      </c>
      <c r="AD137" s="259">
        <f>'[4]11. Kultúra'!$AV$126</f>
        <v>0</v>
      </c>
      <c r="AE137" s="260">
        <f>'[4]11. Kultúra'!$AW$126</f>
        <v>0</v>
      </c>
    </row>
    <row r="138" spans="2:31" ht="15.75" x14ac:dyDescent="0.25">
      <c r="B138" s="285" t="s">
        <v>317</v>
      </c>
      <c r="C138" s="274" t="s">
        <v>318</v>
      </c>
      <c r="D138" s="560">
        <f t="shared" si="241"/>
        <v>0</v>
      </c>
      <c r="E138" s="561">
        <f>'[1]11. Kultúra'!$AF$141</f>
        <v>0</v>
      </c>
      <c r="F138" s="561">
        <f>'[1]11. Kultúra'!$AG$141</f>
        <v>0</v>
      </c>
      <c r="G138" s="562">
        <f>'[1]11. Kultúra'!$AH$141</f>
        <v>0</v>
      </c>
      <c r="H138" s="560">
        <f t="shared" si="242"/>
        <v>0</v>
      </c>
      <c r="I138" s="561">
        <f>'[2]11. Kultúra'!$AI$141</f>
        <v>0</v>
      </c>
      <c r="J138" s="561">
        <f>'[2]11. Kultúra'!$AJ$141</f>
        <v>0</v>
      </c>
      <c r="K138" s="562">
        <f>'[2]11. Kultúra'!$AK$141</f>
        <v>0</v>
      </c>
      <c r="L138" s="261">
        <f t="shared" si="243"/>
        <v>400500</v>
      </c>
      <c r="M138" s="259">
        <f>'[3]11. Kultúra'!$AI$141</f>
        <v>500</v>
      </c>
      <c r="N138" s="259">
        <f>'[3]11. Kultúra'!$AJ$141</f>
        <v>400000</v>
      </c>
      <c r="O138" s="356">
        <f>'[3]11. Kultúra'!$AK$141</f>
        <v>0</v>
      </c>
      <c r="P138" s="261">
        <f t="shared" si="244"/>
        <v>400500</v>
      </c>
      <c r="Q138" s="259">
        <f>'[4]11. Kultúra'!$AL$141</f>
        <v>500</v>
      </c>
      <c r="R138" s="259">
        <f>'[4]11. Kultúra'!$AM$141</f>
        <v>400000</v>
      </c>
      <c r="S138" s="259">
        <f>'[4]11. Kultúra'!$AN$141</f>
        <v>0</v>
      </c>
      <c r="T138" s="261">
        <f t="shared" si="245"/>
        <v>0</v>
      </c>
      <c r="U138" s="259">
        <f>'[4]11. Kultúra'!$AO$141</f>
        <v>0</v>
      </c>
      <c r="V138" s="259">
        <f>'[4]11. Kultúra'!$AP$141</f>
        <v>0</v>
      </c>
      <c r="W138" s="259">
        <f>'[4]11. Kultúra'!$AQ$141</f>
        <v>0</v>
      </c>
      <c r="X138" s="261">
        <f t="shared" si="246"/>
        <v>-394920</v>
      </c>
      <c r="Y138" s="259">
        <f>'[4]11. Kultúra'!$AR$141</f>
        <v>5080</v>
      </c>
      <c r="Z138" s="259">
        <f>'[4]11. Kultúra'!$AS$141</f>
        <v>-400000</v>
      </c>
      <c r="AA138" s="259">
        <f>'[4]11. Kultúra'!$AT$141</f>
        <v>0</v>
      </c>
      <c r="AB138" s="261">
        <f t="shared" si="247"/>
        <v>5580</v>
      </c>
      <c r="AC138" s="259">
        <f>'[4]11. Kultúra'!$AU$141</f>
        <v>5580</v>
      </c>
      <c r="AD138" s="259">
        <f>'[4]11. Kultúra'!$AV$141</f>
        <v>0</v>
      </c>
      <c r="AE138" s="260">
        <f>'[4]11. Kultúra'!$AW$141</f>
        <v>0</v>
      </c>
    </row>
    <row r="139" spans="2:31" ht="16.5" thickBot="1" x14ac:dyDescent="0.3">
      <c r="B139" s="280" t="s">
        <v>319</v>
      </c>
      <c r="C139" s="276" t="s">
        <v>320</v>
      </c>
      <c r="D139" s="563">
        <f t="shared" si="241"/>
        <v>2800</v>
      </c>
      <c r="E139" s="566">
        <f>'[1]11. Kultúra'!$AF$144</f>
        <v>2800</v>
      </c>
      <c r="F139" s="566">
        <f>'[1]11. Kultúra'!$AG$144</f>
        <v>0</v>
      </c>
      <c r="G139" s="567">
        <f>'[1]11. Kultúra'!$AH$144</f>
        <v>0</v>
      </c>
      <c r="H139" s="563">
        <f t="shared" si="242"/>
        <v>5000</v>
      </c>
      <c r="I139" s="566">
        <f>'[2]11. Kultúra'!$AI$144</f>
        <v>5000</v>
      </c>
      <c r="J139" s="566">
        <f>'[2]11. Kultúra'!$AJ$144</f>
        <v>0</v>
      </c>
      <c r="K139" s="567">
        <f>'[2]11. Kultúra'!$AK$144</f>
        <v>0</v>
      </c>
      <c r="L139" s="269">
        <f t="shared" si="243"/>
        <v>5000</v>
      </c>
      <c r="M139" s="365">
        <f>'[3]11. Kultúra'!$AI$144</f>
        <v>5000</v>
      </c>
      <c r="N139" s="365">
        <f>'[3]11. Kultúra'!$AJ$144</f>
        <v>0</v>
      </c>
      <c r="O139" s="642">
        <f>'[3]11. Kultúra'!$AK$144</f>
        <v>0</v>
      </c>
      <c r="P139" s="269">
        <f t="shared" si="244"/>
        <v>5000</v>
      </c>
      <c r="Q139" s="365">
        <f>'[4]11. Kultúra'!$AL$144</f>
        <v>5000</v>
      </c>
      <c r="R139" s="365">
        <f>'[4]11. Kultúra'!$AM$144</f>
        <v>0</v>
      </c>
      <c r="S139" s="365">
        <f>'[4]11. Kultúra'!$AN$144</f>
        <v>0</v>
      </c>
      <c r="T139" s="269">
        <f t="shared" si="245"/>
        <v>600</v>
      </c>
      <c r="U139" s="365">
        <f>'[4]11. Kultúra'!$AO$144</f>
        <v>600</v>
      </c>
      <c r="V139" s="365">
        <f>'[4]11. Kultúra'!$AP$144</f>
        <v>0</v>
      </c>
      <c r="W139" s="365">
        <f>'[4]11. Kultúra'!$AQ$144</f>
        <v>0</v>
      </c>
      <c r="X139" s="269">
        <f t="shared" si="246"/>
        <v>0</v>
      </c>
      <c r="Y139" s="365">
        <f>'[4]11. Kultúra'!$AR$144</f>
        <v>0</v>
      </c>
      <c r="Z139" s="365">
        <f>'[4]11. Kultúra'!$AS$144</f>
        <v>0</v>
      </c>
      <c r="AA139" s="365">
        <f>'[4]11. Kultúra'!$AT$144</f>
        <v>0</v>
      </c>
      <c r="AB139" s="269">
        <f t="shared" si="247"/>
        <v>5000</v>
      </c>
      <c r="AC139" s="365">
        <f>'[4]11. Kultúra'!$AU$144</f>
        <v>5000</v>
      </c>
      <c r="AD139" s="365">
        <f>'[4]11. Kultúra'!$AV$144</f>
        <v>0</v>
      </c>
      <c r="AE139" s="366">
        <f>'[4]11. Kultúra'!$AW$144</f>
        <v>0</v>
      </c>
    </row>
    <row r="140" spans="2:31" s="123" customFormat="1" ht="15.75" x14ac:dyDescent="0.25">
      <c r="B140" s="277" t="s">
        <v>321</v>
      </c>
      <c r="C140" s="284"/>
      <c r="D140" s="557">
        <f t="shared" ref="D140:G140" si="248">D141+D146+D147+D148+D149+D150+D151</f>
        <v>1057745.67</v>
      </c>
      <c r="E140" s="558">
        <f t="shared" si="248"/>
        <v>363157.91</v>
      </c>
      <c r="F140" s="558">
        <f t="shared" si="248"/>
        <v>694587.76</v>
      </c>
      <c r="G140" s="559">
        <f t="shared" si="248"/>
        <v>0</v>
      </c>
      <c r="H140" s="557">
        <f t="shared" ref="H140:K140" si="249">H141+H146+H147+H148+H149+H150+H151</f>
        <v>524847.04999999993</v>
      </c>
      <c r="I140" s="558">
        <f t="shared" si="249"/>
        <v>507247.04999999993</v>
      </c>
      <c r="J140" s="558">
        <f t="shared" si="249"/>
        <v>17600</v>
      </c>
      <c r="K140" s="559">
        <f t="shared" si="249"/>
        <v>0</v>
      </c>
      <c r="L140" s="267">
        <f t="shared" ref="L140:S140" si="250">L141+L146+L147+L148+L149+L150+L151</f>
        <v>1333930</v>
      </c>
      <c r="M140" s="268">
        <f t="shared" si="250"/>
        <v>781200</v>
      </c>
      <c r="N140" s="268">
        <f t="shared" si="250"/>
        <v>552730</v>
      </c>
      <c r="O140" s="355">
        <f t="shared" si="250"/>
        <v>0</v>
      </c>
      <c r="P140" s="267">
        <f t="shared" si="250"/>
        <v>1430930</v>
      </c>
      <c r="Q140" s="268">
        <f t="shared" si="250"/>
        <v>878200</v>
      </c>
      <c r="R140" s="268">
        <f t="shared" si="250"/>
        <v>552730</v>
      </c>
      <c r="S140" s="355">
        <f t="shared" si="250"/>
        <v>0</v>
      </c>
      <c r="T140" s="267">
        <f t="shared" ref="T140:W140" si="251">T141+T146+T147+T148+T149+T150+T151</f>
        <v>58758.5</v>
      </c>
      <c r="U140" s="268">
        <f t="shared" si="251"/>
        <v>58758.5</v>
      </c>
      <c r="V140" s="268">
        <f t="shared" si="251"/>
        <v>0</v>
      </c>
      <c r="W140" s="355">
        <f t="shared" si="251"/>
        <v>0</v>
      </c>
      <c r="X140" s="267">
        <f t="shared" ref="X140:AE140" si="252">X141+X146+X147+X148+X149+X150+X151</f>
        <v>351000</v>
      </c>
      <c r="Y140" s="268">
        <f t="shared" si="252"/>
        <v>-5000</v>
      </c>
      <c r="Z140" s="268">
        <f t="shared" si="252"/>
        <v>356000</v>
      </c>
      <c r="AA140" s="355">
        <f t="shared" si="252"/>
        <v>0</v>
      </c>
      <c r="AB140" s="267">
        <f t="shared" si="252"/>
        <v>1781930</v>
      </c>
      <c r="AC140" s="268">
        <f t="shared" si="252"/>
        <v>873200</v>
      </c>
      <c r="AD140" s="268">
        <f t="shared" si="252"/>
        <v>908730</v>
      </c>
      <c r="AE140" s="355">
        <f t="shared" si="252"/>
        <v>0</v>
      </c>
    </row>
    <row r="141" spans="2:31" ht="15.75" x14ac:dyDescent="0.25">
      <c r="B141" s="285" t="s">
        <v>322</v>
      </c>
      <c r="C141" s="274" t="s">
        <v>323</v>
      </c>
      <c r="D141" s="560">
        <f t="shared" ref="D141:G141" si="253">SUM(D142:D145)</f>
        <v>963402.67999999993</v>
      </c>
      <c r="E141" s="561">
        <f t="shared" si="253"/>
        <v>278804.92</v>
      </c>
      <c r="F141" s="561">
        <f t="shared" si="253"/>
        <v>684597.76000000001</v>
      </c>
      <c r="G141" s="562">
        <f t="shared" si="253"/>
        <v>0</v>
      </c>
      <c r="H141" s="560">
        <f t="shared" ref="H141:K141" si="254">SUM(H142:H145)</f>
        <v>412160.49</v>
      </c>
      <c r="I141" s="561">
        <f t="shared" si="254"/>
        <v>412160.49</v>
      </c>
      <c r="J141" s="561">
        <f t="shared" si="254"/>
        <v>0</v>
      </c>
      <c r="K141" s="562">
        <f t="shared" si="254"/>
        <v>0</v>
      </c>
      <c r="L141" s="261">
        <f t="shared" ref="L141:S141" si="255">SUM(L142:L145)</f>
        <v>443800</v>
      </c>
      <c r="M141" s="259">
        <f t="shared" si="255"/>
        <v>443800</v>
      </c>
      <c r="N141" s="259">
        <f t="shared" si="255"/>
        <v>0</v>
      </c>
      <c r="O141" s="356">
        <f t="shared" si="255"/>
        <v>0</v>
      </c>
      <c r="P141" s="261">
        <f t="shared" si="255"/>
        <v>545800</v>
      </c>
      <c r="Q141" s="259">
        <f t="shared" si="255"/>
        <v>545800</v>
      </c>
      <c r="R141" s="259">
        <f t="shared" si="255"/>
        <v>0</v>
      </c>
      <c r="S141" s="356">
        <f t="shared" si="255"/>
        <v>0</v>
      </c>
      <c r="T141" s="261">
        <f t="shared" ref="T141:W141" si="256">SUM(T142:T145)</f>
        <v>37739.480000000003</v>
      </c>
      <c r="U141" s="259">
        <f t="shared" si="256"/>
        <v>37739.480000000003</v>
      </c>
      <c r="V141" s="259">
        <f t="shared" si="256"/>
        <v>0</v>
      </c>
      <c r="W141" s="356">
        <f t="shared" si="256"/>
        <v>0</v>
      </c>
      <c r="X141" s="261">
        <f t="shared" ref="X141:AE141" si="257">SUM(X142:X145)</f>
        <v>-5000</v>
      </c>
      <c r="Y141" s="259">
        <f t="shared" si="257"/>
        <v>-5000</v>
      </c>
      <c r="Z141" s="259">
        <f t="shared" si="257"/>
        <v>0</v>
      </c>
      <c r="AA141" s="356">
        <f t="shared" si="257"/>
        <v>0</v>
      </c>
      <c r="AB141" s="261">
        <f t="shared" si="257"/>
        <v>540800</v>
      </c>
      <c r="AC141" s="259">
        <f t="shared" si="257"/>
        <v>540800</v>
      </c>
      <c r="AD141" s="259">
        <f t="shared" si="257"/>
        <v>0</v>
      </c>
      <c r="AE141" s="356">
        <f t="shared" si="257"/>
        <v>0</v>
      </c>
    </row>
    <row r="142" spans="2:31" ht="15.75" x14ac:dyDescent="0.25">
      <c r="B142" s="273">
        <v>1</v>
      </c>
      <c r="C142" s="274" t="s">
        <v>324</v>
      </c>
      <c r="D142" s="560">
        <f>SUM(E142:G142)</f>
        <v>957834.67999999993</v>
      </c>
      <c r="E142" s="561">
        <f>'[1]12. Prostredie pre život'!$AF$5</f>
        <v>273236.92</v>
      </c>
      <c r="F142" s="561">
        <f>'[1]12. Prostredie pre život'!$AG$5</f>
        <v>684597.76000000001</v>
      </c>
      <c r="G142" s="562">
        <f>'[1]12. Prostredie pre život'!$AH$5</f>
        <v>0</v>
      </c>
      <c r="H142" s="560">
        <f>SUM(I142:K142)</f>
        <v>396694.24</v>
      </c>
      <c r="I142" s="561">
        <f>'[2]12. Prostredie pre život'!$AI$5</f>
        <v>396694.24</v>
      </c>
      <c r="J142" s="561">
        <f>'[2]12. Prostredie pre život'!$AJ$5</f>
        <v>0</v>
      </c>
      <c r="K142" s="562">
        <f>'[2]12. Prostredie pre život'!$AK$5</f>
        <v>0</v>
      </c>
      <c r="L142" s="261">
        <f>SUM(M142:O142)</f>
        <v>436000</v>
      </c>
      <c r="M142" s="259">
        <f>'[3]12. Prostredie pre život'!$AI$5</f>
        <v>436000</v>
      </c>
      <c r="N142" s="259">
        <f>'[3]12. Prostredie pre život'!$AJ$5</f>
        <v>0</v>
      </c>
      <c r="O142" s="356">
        <f>'[3]12. Prostredie pre život'!$AK$5</f>
        <v>0</v>
      </c>
      <c r="P142" s="261">
        <f>SUM(Q142:S142)</f>
        <v>538000</v>
      </c>
      <c r="Q142" s="259">
        <f>'[4]12. Prostredie pre život'!$AL$5</f>
        <v>538000</v>
      </c>
      <c r="R142" s="259">
        <f>'[4]12. Prostredie pre život'!$AM$5</f>
        <v>0</v>
      </c>
      <c r="S142" s="259">
        <f>'[4]12. Prostredie pre život'!$AN$5</f>
        <v>0</v>
      </c>
      <c r="T142" s="261">
        <f>SUM(U142:W142)</f>
        <v>33889.480000000003</v>
      </c>
      <c r="U142" s="259">
        <f>'[4]12. Prostredie pre život'!$AO$5</f>
        <v>33889.480000000003</v>
      </c>
      <c r="V142" s="259">
        <f>'[4]12. Prostredie pre život'!$AP$5</f>
        <v>0</v>
      </c>
      <c r="W142" s="259">
        <f>'[4]12. Prostredie pre život'!$AQ$5</f>
        <v>0</v>
      </c>
      <c r="X142" s="261">
        <f>SUM(Y142:AA142)</f>
        <v>-5000</v>
      </c>
      <c r="Y142" s="259">
        <f>'[4]12. Prostredie pre život'!$AR$5</f>
        <v>-5000</v>
      </c>
      <c r="Z142" s="259">
        <f>'[4]12. Prostredie pre život'!$AS$5</f>
        <v>0</v>
      </c>
      <c r="AA142" s="259">
        <f>'[4]12. Prostredie pre život'!$AT$5</f>
        <v>0</v>
      </c>
      <c r="AB142" s="261">
        <f>SUM(AC142:AE142)</f>
        <v>533000</v>
      </c>
      <c r="AC142" s="259">
        <f>'[4]12. Prostredie pre život'!$AU$5</f>
        <v>533000</v>
      </c>
      <c r="AD142" s="259">
        <f>'[4]12. Prostredie pre život'!$AV$5</f>
        <v>0</v>
      </c>
      <c r="AE142" s="260">
        <f>'[4]12. Prostredie pre život'!$AW$5</f>
        <v>0</v>
      </c>
    </row>
    <row r="143" spans="2:31" ht="15.75" x14ac:dyDescent="0.25">
      <c r="B143" s="273">
        <v>2</v>
      </c>
      <c r="C143" s="274" t="s">
        <v>325</v>
      </c>
      <c r="D143" s="560">
        <f t="shared" ref="D143:D151" si="258">SUM(E143:G143)</f>
        <v>4854</v>
      </c>
      <c r="E143" s="561">
        <f>'[1]12. Prostredie pre život'!$AF$23</f>
        <v>4854</v>
      </c>
      <c r="F143" s="561">
        <f>'[1]12. Prostredie pre život'!$AG$23</f>
        <v>0</v>
      </c>
      <c r="G143" s="562">
        <f>'[1]12. Prostredie pre život'!$AH$23</f>
        <v>0</v>
      </c>
      <c r="H143" s="560">
        <f t="shared" ref="H143:H151" si="259">SUM(I143:K143)</f>
        <v>5300</v>
      </c>
      <c r="I143" s="561">
        <f>'[2]12. Prostredie pre život'!$AI$24</f>
        <v>5300</v>
      </c>
      <c r="J143" s="561">
        <f>'[2]12. Prostredie pre život'!$AJ$24</f>
        <v>0</v>
      </c>
      <c r="K143" s="562">
        <f>'[2]12. Prostredie pre život'!$AK$24</f>
        <v>0</v>
      </c>
      <c r="L143" s="261">
        <f t="shared" ref="L143:L151" si="260">SUM(M143:O143)</f>
        <v>6500</v>
      </c>
      <c r="M143" s="259">
        <f>'[3]12. Prostredie pre život'!$AI$24</f>
        <v>6500</v>
      </c>
      <c r="N143" s="259">
        <f>'[3]12. Prostredie pre život'!$AJ$24</f>
        <v>0</v>
      </c>
      <c r="O143" s="356">
        <f>'[3]12. Prostredie pre život'!$AK$24</f>
        <v>0</v>
      </c>
      <c r="P143" s="261">
        <f t="shared" ref="P143:P151" si="261">SUM(Q143:S143)</f>
        <v>6500</v>
      </c>
      <c r="Q143" s="259">
        <f>'[4]12. Prostredie pre život'!$AL$24</f>
        <v>6500</v>
      </c>
      <c r="R143" s="259">
        <f>'[4]12. Prostredie pre život'!$AM$24</f>
        <v>0</v>
      </c>
      <c r="S143" s="259">
        <f>'[4]12. Prostredie pre život'!$AN$24</f>
        <v>0</v>
      </c>
      <c r="T143" s="261">
        <f t="shared" ref="T143:T151" si="262">SUM(U143:W143)</f>
        <v>3850</v>
      </c>
      <c r="U143" s="259">
        <f>'[4]12. Prostredie pre život'!$AO$24</f>
        <v>3850</v>
      </c>
      <c r="V143" s="259">
        <f>'[4]12. Prostredie pre život'!$AP$24</f>
        <v>0</v>
      </c>
      <c r="W143" s="259">
        <f>'[4]12. Prostredie pre život'!$AQ$24</f>
        <v>0</v>
      </c>
      <c r="X143" s="261">
        <f t="shared" ref="X143:X151" si="263">SUM(Y143:AA143)</f>
        <v>0</v>
      </c>
      <c r="Y143" s="259">
        <f>'[4]12. Prostredie pre život'!$AR$24</f>
        <v>0</v>
      </c>
      <c r="Z143" s="259">
        <f>'[4]12. Prostredie pre život'!$AS$24</f>
        <v>0</v>
      </c>
      <c r="AA143" s="259">
        <f>'[4]12. Prostredie pre život'!$AT$24</f>
        <v>0</v>
      </c>
      <c r="AB143" s="261">
        <f t="shared" ref="AB143:AB151" si="264">SUM(AC143:AE143)</f>
        <v>6500</v>
      </c>
      <c r="AC143" s="259">
        <f>'[4]12. Prostredie pre život'!$AU$24</f>
        <v>6500</v>
      </c>
      <c r="AD143" s="259">
        <f>'[4]12. Prostredie pre život'!$AV$24</f>
        <v>0</v>
      </c>
      <c r="AE143" s="260">
        <f>'[4]12. Prostredie pre život'!$AW$24</f>
        <v>0</v>
      </c>
    </row>
    <row r="144" spans="2:31" ht="15.75" x14ac:dyDescent="0.25">
      <c r="B144" s="273">
        <v>3</v>
      </c>
      <c r="C144" s="274" t="s">
        <v>326</v>
      </c>
      <c r="D144" s="560">
        <f t="shared" si="258"/>
        <v>0</v>
      </c>
      <c r="E144" s="561">
        <f>'[1]12. Prostredie pre život'!$AF$25</f>
        <v>0</v>
      </c>
      <c r="F144" s="561">
        <f>'[1]12. Prostredie pre život'!$AG$25</f>
        <v>0</v>
      </c>
      <c r="G144" s="562">
        <f>'[1]12. Prostredie pre život'!$AH$25</f>
        <v>0</v>
      </c>
      <c r="H144" s="560">
        <f t="shared" si="259"/>
        <v>7904.4</v>
      </c>
      <c r="I144" s="561">
        <f>'[2]12. Prostredie pre život'!$AI$26</f>
        <v>7904.4</v>
      </c>
      <c r="J144" s="561">
        <f>'[2]12. Prostredie pre život'!$AJ$26</f>
        <v>0</v>
      </c>
      <c r="K144" s="562">
        <f>'[2]12. Prostredie pre život'!$AK$26</f>
        <v>0</v>
      </c>
      <c r="L144" s="261">
        <f t="shared" si="260"/>
        <v>500</v>
      </c>
      <c r="M144" s="259">
        <f>'[3]12. Prostredie pre život'!$AI$26</f>
        <v>500</v>
      </c>
      <c r="N144" s="259">
        <f>'[3]12. Prostredie pre život'!$AJ$26</f>
        <v>0</v>
      </c>
      <c r="O144" s="356">
        <f>'[3]12. Prostredie pre život'!$AK$26</f>
        <v>0</v>
      </c>
      <c r="P144" s="261">
        <f t="shared" si="261"/>
        <v>500</v>
      </c>
      <c r="Q144" s="259">
        <f>'[4]12. Prostredie pre život'!$AL$26</f>
        <v>500</v>
      </c>
      <c r="R144" s="259">
        <f>'[4]12. Prostredie pre život'!$AM$26</f>
        <v>0</v>
      </c>
      <c r="S144" s="259">
        <f>'[4]12. Prostredie pre život'!$AN$26</f>
        <v>0</v>
      </c>
      <c r="T144" s="261">
        <f t="shared" si="262"/>
        <v>0</v>
      </c>
      <c r="U144" s="259">
        <f>'[4]12. Prostredie pre život'!$AO$26</f>
        <v>0</v>
      </c>
      <c r="V144" s="259">
        <f>'[4]12. Prostredie pre život'!$AP$26</f>
        <v>0</v>
      </c>
      <c r="W144" s="259">
        <f>'[4]12. Prostredie pre život'!$AQ$26</f>
        <v>0</v>
      </c>
      <c r="X144" s="261">
        <f t="shared" si="263"/>
        <v>0</v>
      </c>
      <c r="Y144" s="259">
        <f>'[4]12. Prostredie pre život'!$AR$26</f>
        <v>0</v>
      </c>
      <c r="Z144" s="259">
        <f>'[4]12. Prostredie pre život'!$AS$26</f>
        <v>0</v>
      </c>
      <c r="AA144" s="259">
        <f>'[4]12. Prostredie pre život'!$AT$26</f>
        <v>0</v>
      </c>
      <c r="AB144" s="261">
        <f t="shared" si="264"/>
        <v>500</v>
      </c>
      <c r="AC144" s="259">
        <f>'[4]12. Prostredie pre život'!$AU$26</f>
        <v>500</v>
      </c>
      <c r="AD144" s="259">
        <f>'[4]12. Prostredie pre život'!$AV$26</f>
        <v>0</v>
      </c>
      <c r="AE144" s="260">
        <f>'[4]12. Prostredie pre život'!$AW$26</f>
        <v>0</v>
      </c>
    </row>
    <row r="145" spans="1:31" ht="15.75" x14ac:dyDescent="0.25">
      <c r="B145" s="273">
        <v>4</v>
      </c>
      <c r="C145" s="274" t="s">
        <v>327</v>
      </c>
      <c r="D145" s="560">
        <f t="shared" si="258"/>
        <v>714</v>
      </c>
      <c r="E145" s="561">
        <f>'[1]12. Prostredie pre život'!$AF$42</f>
        <v>714</v>
      </c>
      <c r="F145" s="561">
        <f>'[1]12. Prostredie pre život'!$AG$42</f>
        <v>0</v>
      </c>
      <c r="G145" s="562">
        <f>'[1]12. Prostredie pre život'!$AH$42</f>
        <v>0</v>
      </c>
      <c r="H145" s="560">
        <f t="shared" si="259"/>
        <v>2261.85</v>
      </c>
      <c r="I145" s="561">
        <f>'[2]12. Prostredie pre život'!$AI$44</f>
        <v>2261.85</v>
      </c>
      <c r="J145" s="561">
        <f>'[2]12. Prostredie pre život'!$AJ$44</f>
        <v>0</v>
      </c>
      <c r="K145" s="562">
        <f>'[2]12. Prostredie pre život'!$AK$44</f>
        <v>0</v>
      </c>
      <c r="L145" s="261">
        <f t="shared" si="260"/>
        <v>800</v>
      </c>
      <c r="M145" s="259">
        <f>'[3]12. Prostredie pre život'!$AI$44</f>
        <v>800</v>
      </c>
      <c r="N145" s="259">
        <f>'[3]12. Prostredie pre život'!$AJ$44</f>
        <v>0</v>
      </c>
      <c r="O145" s="356">
        <f>'[3]12. Prostredie pre život'!$AK$44</f>
        <v>0</v>
      </c>
      <c r="P145" s="261">
        <f t="shared" si="261"/>
        <v>800</v>
      </c>
      <c r="Q145" s="259">
        <f>'[4]12. Prostredie pre život'!$AL$44</f>
        <v>800</v>
      </c>
      <c r="R145" s="259">
        <f>'[4]12. Prostredie pre život'!$AM$44</f>
        <v>0</v>
      </c>
      <c r="S145" s="259">
        <f>'[4]12. Prostredie pre život'!$AN$44</f>
        <v>0</v>
      </c>
      <c r="T145" s="261">
        <f t="shared" si="262"/>
        <v>0</v>
      </c>
      <c r="U145" s="259">
        <f>'[4]12. Prostredie pre život'!$AO$44</f>
        <v>0</v>
      </c>
      <c r="V145" s="259">
        <f>'[4]12. Prostredie pre život'!$AP$44</f>
        <v>0</v>
      </c>
      <c r="W145" s="259">
        <f>'[4]12. Prostredie pre život'!$AQ$44</f>
        <v>0</v>
      </c>
      <c r="X145" s="261">
        <f t="shared" si="263"/>
        <v>0</v>
      </c>
      <c r="Y145" s="259">
        <f>'[4]12. Prostredie pre život'!$AR$44</f>
        <v>0</v>
      </c>
      <c r="Z145" s="259">
        <f>'[4]12. Prostredie pre život'!$AS$44</f>
        <v>0</v>
      </c>
      <c r="AA145" s="259">
        <f>'[4]12. Prostredie pre život'!$AT$44</f>
        <v>0</v>
      </c>
      <c r="AB145" s="261">
        <f t="shared" si="264"/>
        <v>800</v>
      </c>
      <c r="AC145" s="259">
        <f>'[4]12. Prostredie pre život'!$AU$44</f>
        <v>800</v>
      </c>
      <c r="AD145" s="259">
        <f>'[4]12. Prostredie pre život'!$AV$44</f>
        <v>0</v>
      </c>
      <c r="AE145" s="260">
        <f>'[4]12. Prostredie pre život'!$AW$44</f>
        <v>0</v>
      </c>
    </row>
    <row r="146" spans="1:31" ht="15.75" x14ac:dyDescent="0.25">
      <c r="B146" s="285" t="s">
        <v>328</v>
      </c>
      <c r="C146" s="274" t="s">
        <v>329</v>
      </c>
      <c r="D146" s="560">
        <f t="shared" si="258"/>
        <v>2268</v>
      </c>
      <c r="E146" s="561">
        <f>'[1]12. Prostredie pre život'!$AF$46</f>
        <v>2268</v>
      </c>
      <c r="F146" s="561">
        <f>'[1]12. Prostredie pre život'!$AG$46</f>
        <v>0</v>
      </c>
      <c r="G146" s="562">
        <f>'[1]12. Prostredie pre život'!$AH$46</f>
        <v>0</v>
      </c>
      <c r="H146" s="560">
        <f t="shared" si="259"/>
        <v>0</v>
      </c>
      <c r="I146" s="561">
        <f>'[2]12. Prostredie pre život'!$AI$48</f>
        <v>0</v>
      </c>
      <c r="J146" s="561">
        <f>'[2]12. Prostredie pre život'!$AJ$48</f>
        <v>0</v>
      </c>
      <c r="K146" s="562">
        <f>'[2]12. Prostredie pre život'!$AK$48</f>
        <v>0</v>
      </c>
      <c r="L146" s="261">
        <f t="shared" si="260"/>
        <v>5000</v>
      </c>
      <c r="M146" s="259">
        <f>'[3]12. Prostredie pre život'!$AI$48</f>
        <v>5000</v>
      </c>
      <c r="N146" s="259">
        <f>'[3]12. Prostredie pre život'!$AJ$48</f>
        <v>0</v>
      </c>
      <c r="O146" s="356">
        <f>'[3]12. Prostredie pre život'!$AK$48</f>
        <v>0</v>
      </c>
      <c r="P146" s="261">
        <f t="shared" si="261"/>
        <v>5000</v>
      </c>
      <c r="Q146" s="259">
        <f>'[4]12. Prostredie pre život'!$AL$48</f>
        <v>5000</v>
      </c>
      <c r="R146" s="259">
        <f>'[4]12. Prostredie pre život'!$AM$48</f>
        <v>0</v>
      </c>
      <c r="S146" s="259">
        <f>'[4]12. Prostredie pre život'!$AN$48</f>
        <v>0</v>
      </c>
      <c r="T146" s="261">
        <f t="shared" si="262"/>
        <v>701.1</v>
      </c>
      <c r="U146" s="259">
        <f>'[4]12. Prostredie pre život'!$AO$48</f>
        <v>701.1</v>
      </c>
      <c r="V146" s="259">
        <f>'[4]12. Prostredie pre život'!$AP$48</f>
        <v>0</v>
      </c>
      <c r="W146" s="259">
        <f>'[4]12. Prostredie pre život'!$AQ$48</f>
        <v>0</v>
      </c>
      <c r="X146" s="261">
        <f t="shared" si="263"/>
        <v>0</v>
      </c>
      <c r="Y146" s="259">
        <f>'[4]12. Prostredie pre život'!$AR$48</f>
        <v>0</v>
      </c>
      <c r="Z146" s="259">
        <f>'[4]12. Prostredie pre život'!$AS$48</f>
        <v>0</v>
      </c>
      <c r="AA146" s="259">
        <f>'[4]12. Prostredie pre život'!$AT$48</f>
        <v>0</v>
      </c>
      <c r="AB146" s="261">
        <f t="shared" si="264"/>
        <v>5000</v>
      </c>
      <c r="AC146" s="259">
        <f>'[4]12. Prostredie pre život'!$AU$48</f>
        <v>5000</v>
      </c>
      <c r="AD146" s="259">
        <f>'[4]12. Prostredie pre život'!$AV$48</f>
        <v>0</v>
      </c>
      <c r="AE146" s="260">
        <f>'[4]12. Prostredie pre život'!$AW$48</f>
        <v>0</v>
      </c>
    </row>
    <row r="147" spans="1:31" ht="15.75" x14ac:dyDescent="0.25">
      <c r="A147" s="124"/>
      <c r="B147" s="291" t="s">
        <v>330</v>
      </c>
      <c r="C147" s="274" t="s">
        <v>331</v>
      </c>
      <c r="D147" s="560">
        <f t="shared" si="258"/>
        <v>15397.550000000001</v>
      </c>
      <c r="E147" s="561">
        <f>'[1]12. Prostredie pre život'!$AF$49</f>
        <v>15397.550000000001</v>
      </c>
      <c r="F147" s="561">
        <f>'[1]12. Prostredie pre život'!$AG$49</f>
        <v>0</v>
      </c>
      <c r="G147" s="562">
        <f>'[1]12. Prostredie pre život'!$AH$49</f>
        <v>0</v>
      </c>
      <c r="H147" s="560">
        <f t="shared" si="259"/>
        <v>16268.51</v>
      </c>
      <c r="I147" s="561">
        <f>'[2]12. Prostredie pre život'!$AI$51</f>
        <v>16268.51</v>
      </c>
      <c r="J147" s="561">
        <f>'[2]12. Prostredie pre život'!$AJ$51</f>
        <v>0</v>
      </c>
      <c r="K147" s="562">
        <f>'[2]12. Prostredie pre život'!$AK$51</f>
        <v>0</v>
      </c>
      <c r="L147" s="261">
        <f t="shared" si="260"/>
        <v>772800</v>
      </c>
      <c r="M147" s="259">
        <f>'[3]12. Prostredie pre život'!$AI$51</f>
        <v>242800</v>
      </c>
      <c r="N147" s="259">
        <f>'[3]12. Prostredie pre život'!$AJ$51</f>
        <v>530000</v>
      </c>
      <c r="O147" s="356">
        <f>'[3]12. Prostredie pre život'!$AK$51</f>
        <v>0</v>
      </c>
      <c r="P147" s="261">
        <f t="shared" si="261"/>
        <v>767800</v>
      </c>
      <c r="Q147" s="259">
        <f>'[4]12. Prostredie pre život'!$AL$51</f>
        <v>237800</v>
      </c>
      <c r="R147" s="259">
        <f>'[4]12. Prostredie pre život'!$AM$51</f>
        <v>530000</v>
      </c>
      <c r="S147" s="259">
        <f>'[4]12. Prostredie pre život'!$AN$51</f>
        <v>0</v>
      </c>
      <c r="T147" s="261">
        <f t="shared" si="262"/>
        <v>1488.6</v>
      </c>
      <c r="U147" s="259">
        <f>'[4]12. Prostredie pre život'!$AO$51</f>
        <v>1488.6</v>
      </c>
      <c r="V147" s="259">
        <f>'[4]12. Prostredie pre život'!$AP$51</f>
        <v>0</v>
      </c>
      <c r="W147" s="259">
        <f>'[4]12. Prostredie pre život'!$AQ$51</f>
        <v>0</v>
      </c>
      <c r="X147" s="261">
        <f t="shared" si="263"/>
        <v>6000</v>
      </c>
      <c r="Y147" s="259">
        <f>'[4]12. Prostredie pre život'!$AR$51</f>
        <v>0</v>
      </c>
      <c r="Z147" s="259">
        <f>'[4]12. Prostredie pre život'!$AS$51</f>
        <v>6000</v>
      </c>
      <c r="AA147" s="259">
        <f>'[4]12. Prostredie pre život'!$AT$51</f>
        <v>0</v>
      </c>
      <c r="AB147" s="261">
        <f t="shared" si="264"/>
        <v>773800</v>
      </c>
      <c r="AC147" s="259">
        <f>'[4]12. Prostredie pre život'!$AU$51</f>
        <v>237800</v>
      </c>
      <c r="AD147" s="259">
        <f>'[4]12. Prostredie pre život'!$AV$51</f>
        <v>536000</v>
      </c>
      <c r="AE147" s="260">
        <f>'[4]12. Prostredie pre život'!$AW$51</f>
        <v>0</v>
      </c>
    </row>
    <row r="148" spans="1:31" ht="15.75" x14ac:dyDescent="0.25">
      <c r="A148" s="124"/>
      <c r="B148" s="291" t="s">
        <v>332</v>
      </c>
      <c r="C148" s="274" t="s">
        <v>333</v>
      </c>
      <c r="D148" s="560">
        <f t="shared" si="258"/>
        <v>533.16999999999996</v>
      </c>
      <c r="E148" s="561">
        <f>'[1]12. Prostredie pre život'!$AF$70</f>
        <v>533.16999999999996</v>
      </c>
      <c r="F148" s="561">
        <f>'[1]12. Prostredie pre život'!$AG$70</f>
        <v>0</v>
      </c>
      <c r="G148" s="562">
        <f>'[1]12. Prostredie pre život'!$AH$70</f>
        <v>0</v>
      </c>
      <c r="H148" s="560">
        <f t="shared" si="259"/>
        <v>2803.92</v>
      </c>
      <c r="I148" s="561">
        <f>'[2]12. Prostredie pre život'!$AI$72</f>
        <v>2803.92</v>
      </c>
      <c r="J148" s="561">
        <f>'[2]12. Prostredie pre život'!$AJ$72</f>
        <v>0</v>
      </c>
      <c r="K148" s="562">
        <f>'[2]12. Prostredie pre život'!$AK$72</f>
        <v>0</v>
      </c>
      <c r="L148" s="261">
        <f t="shared" si="260"/>
        <v>5000</v>
      </c>
      <c r="M148" s="259">
        <f>'[3]12. Prostredie pre život'!$AI$72</f>
        <v>5000</v>
      </c>
      <c r="N148" s="259">
        <f>'[3]12. Prostredie pre život'!$AJ$72</f>
        <v>0</v>
      </c>
      <c r="O148" s="356">
        <f>'[3]12. Prostredie pre život'!$AK$72</f>
        <v>0</v>
      </c>
      <c r="P148" s="261">
        <f t="shared" si="261"/>
        <v>5000</v>
      </c>
      <c r="Q148" s="259">
        <f>'[4]12. Prostredie pre život'!$AL$72</f>
        <v>5000</v>
      </c>
      <c r="R148" s="259">
        <f>'[4]12. Prostredie pre život'!$AM$72</f>
        <v>0</v>
      </c>
      <c r="S148" s="259">
        <f>'[4]12. Prostredie pre život'!$AN$72</f>
        <v>0</v>
      </c>
      <c r="T148" s="261">
        <f t="shared" si="262"/>
        <v>363.24</v>
      </c>
      <c r="U148" s="259">
        <f>'[4]12. Prostredie pre život'!$AO$72</f>
        <v>363.24</v>
      </c>
      <c r="V148" s="259">
        <f>'[4]12. Prostredie pre život'!$AP$72</f>
        <v>0</v>
      </c>
      <c r="W148" s="259">
        <f>'[4]12. Prostredie pre život'!$AQ$72</f>
        <v>0</v>
      </c>
      <c r="X148" s="261">
        <f t="shared" si="263"/>
        <v>0</v>
      </c>
      <c r="Y148" s="259">
        <f>'[4]12. Prostredie pre život'!$AR$72</f>
        <v>0</v>
      </c>
      <c r="Z148" s="259">
        <f>'[4]12. Prostredie pre život'!$AS$72</f>
        <v>0</v>
      </c>
      <c r="AA148" s="259">
        <f>'[4]12. Prostredie pre život'!$AT$72</f>
        <v>0</v>
      </c>
      <c r="AB148" s="261">
        <f t="shared" si="264"/>
        <v>5000</v>
      </c>
      <c r="AC148" s="259">
        <f>'[4]12. Prostredie pre život'!$AU$72</f>
        <v>5000</v>
      </c>
      <c r="AD148" s="259">
        <f>'[4]12. Prostredie pre život'!$AV$72</f>
        <v>0</v>
      </c>
      <c r="AE148" s="260">
        <f>'[4]12. Prostredie pre život'!$AW$72</f>
        <v>0</v>
      </c>
    </row>
    <row r="149" spans="1:31" ht="15.75" x14ac:dyDescent="0.25">
      <c r="A149" s="124"/>
      <c r="B149" s="291" t="s">
        <v>334</v>
      </c>
      <c r="C149" s="274" t="s">
        <v>335</v>
      </c>
      <c r="D149" s="560">
        <f t="shared" si="258"/>
        <v>40562.26</v>
      </c>
      <c r="E149" s="561">
        <f>'[1]12. Prostredie pre život'!$AF$72</f>
        <v>40562.26</v>
      </c>
      <c r="F149" s="561">
        <f>'[1]12. Prostredie pre život'!$AG$72</f>
        <v>0</v>
      </c>
      <c r="G149" s="562">
        <f>'[1]12. Prostredie pre život'!$AH$72</f>
        <v>0</v>
      </c>
      <c r="H149" s="560">
        <f t="shared" si="259"/>
        <v>40473.78</v>
      </c>
      <c r="I149" s="561">
        <f>'[2]12. Prostredie pre život'!$AI$74</f>
        <v>40473.78</v>
      </c>
      <c r="J149" s="561">
        <f>'[2]12. Prostredie pre život'!$AJ$74</f>
        <v>0</v>
      </c>
      <c r="K149" s="562">
        <f>'[2]12. Prostredie pre život'!$AK$74</f>
        <v>0</v>
      </c>
      <c r="L149" s="261">
        <f t="shared" si="260"/>
        <v>42500</v>
      </c>
      <c r="M149" s="259">
        <f>'[3]12. Prostredie pre život'!$AI$74</f>
        <v>42500</v>
      </c>
      <c r="N149" s="259">
        <f>'[3]12. Prostredie pre život'!$AJ$74</f>
        <v>0</v>
      </c>
      <c r="O149" s="356">
        <f>'[3]12. Prostredie pre život'!$AK$74</f>
        <v>0</v>
      </c>
      <c r="P149" s="261">
        <f t="shared" si="261"/>
        <v>42500</v>
      </c>
      <c r="Q149" s="259">
        <f>'[4]12. Prostredie pre život'!$AL$74</f>
        <v>42500</v>
      </c>
      <c r="R149" s="259">
        <f>'[4]12. Prostredie pre život'!$AM$74</f>
        <v>0</v>
      </c>
      <c r="S149" s="259">
        <f>'[4]12. Prostredie pre život'!$AN$74</f>
        <v>0</v>
      </c>
      <c r="T149" s="261">
        <f t="shared" si="262"/>
        <v>12417.19</v>
      </c>
      <c r="U149" s="259">
        <f>'[4]12. Prostredie pre život'!$AO$74</f>
        <v>12417.19</v>
      </c>
      <c r="V149" s="259">
        <f>'[4]12. Prostredie pre život'!$AP$74</f>
        <v>0</v>
      </c>
      <c r="W149" s="259">
        <f>'[4]12. Prostredie pre život'!$AQ$74</f>
        <v>0</v>
      </c>
      <c r="X149" s="261">
        <f t="shared" si="263"/>
        <v>0</v>
      </c>
      <c r="Y149" s="259">
        <f>'[4]12. Prostredie pre život'!$AR$74</f>
        <v>0</v>
      </c>
      <c r="Z149" s="259">
        <f>'[4]12. Prostredie pre život'!$AS$74</f>
        <v>0</v>
      </c>
      <c r="AA149" s="259">
        <f>'[4]12. Prostredie pre život'!$AT$74</f>
        <v>0</v>
      </c>
      <c r="AB149" s="261">
        <f t="shared" si="264"/>
        <v>42500</v>
      </c>
      <c r="AC149" s="259">
        <f>'[4]12. Prostredie pre život'!$AU$74</f>
        <v>42500</v>
      </c>
      <c r="AD149" s="259">
        <f>'[4]12. Prostredie pre život'!$AV$74</f>
        <v>0</v>
      </c>
      <c r="AE149" s="260">
        <f>'[4]12. Prostredie pre život'!$AW$74</f>
        <v>0</v>
      </c>
    </row>
    <row r="150" spans="1:31" ht="15.75" x14ac:dyDescent="0.25">
      <c r="A150" s="124"/>
      <c r="B150" s="292" t="s">
        <v>336</v>
      </c>
      <c r="C150" s="290" t="s">
        <v>337</v>
      </c>
      <c r="D150" s="560">
        <f t="shared" si="258"/>
        <v>35582.01</v>
      </c>
      <c r="E150" s="561">
        <f>'[1]12. Prostredie pre život'!$AF$76</f>
        <v>25592.010000000002</v>
      </c>
      <c r="F150" s="561">
        <f>'[1]12. Prostredie pre život'!$AG$76</f>
        <v>9990</v>
      </c>
      <c r="G150" s="562">
        <f>'[1]12. Prostredie pre život'!$AH$76</f>
        <v>0</v>
      </c>
      <c r="H150" s="560">
        <f t="shared" si="259"/>
        <v>53140.35</v>
      </c>
      <c r="I150" s="561">
        <f>'[2]12. Prostredie pre život'!$AI$78</f>
        <v>35540.35</v>
      </c>
      <c r="J150" s="561">
        <f>'[2]12. Prostredie pre život'!$AJ$78</f>
        <v>17600</v>
      </c>
      <c r="K150" s="562">
        <f>'[2]12. Prostredie pre život'!$AK$78</f>
        <v>0</v>
      </c>
      <c r="L150" s="261">
        <f t="shared" si="260"/>
        <v>64830</v>
      </c>
      <c r="M150" s="259">
        <f>'[3]12. Prostredie pre život'!$AI$78</f>
        <v>42100</v>
      </c>
      <c r="N150" s="259">
        <f>'[3]12. Prostredie pre život'!$AJ$78</f>
        <v>22730</v>
      </c>
      <c r="O150" s="356">
        <f>'[3]12. Prostredie pre život'!$AK$78</f>
        <v>0</v>
      </c>
      <c r="P150" s="261">
        <f t="shared" si="261"/>
        <v>64830</v>
      </c>
      <c r="Q150" s="259">
        <f>'[4]12. Prostredie pre život'!$AL$78</f>
        <v>42100</v>
      </c>
      <c r="R150" s="259">
        <f>'[4]12. Prostredie pre život'!$AM$78</f>
        <v>22730</v>
      </c>
      <c r="S150" s="259">
        <f>'[4]12. Prostredie pre život'!$AN$78</f>
        <v>0</v>
      </c>
      <c r="T150" s="261">
        <f t="shared" si="262"/>
        <v>6048.89</v>
      </c>
      <c r="U150" s="259">
        <f>'[4]12. Prostredie pre život'!$AO$78</f>
        <v>6048.89</v>
      </c>
      <c r="V150" s="259">
        <f>'[4]12. Prostredie pre život'!$AP$78</f>
        <v>0</v>
      </c>
      <c r="W150" s="259">
        <f>'[4]12. Prostredie pre život'!$AQ$78</f>
        <v>0</v>
      </c>
      <c r="X150" s="261">
        <f t="shared" si="263"/>
        <v>350000</v>
      </c>
      <c r="Y150" s="259">
        <f>'[4]12. Prostredie pre život'!$AR$78</f>
        <v>0</v>
      </c>
      <c r="Z150" s="259">
        <f>'[4]12. Prostredie pre život'!$AS$78</f>
        <v>350000</v>
      </c>
      <c r="AA150" s="259">
        <f>'[4]12. Prostredie pre život'!$AT$78</f>
        <v>0</v>
      </c>
      <c r="AB150" s="261">
        <f t="shared" si="264"/>
        <v>414830</v>
      </c>
      <c r="AC150" s="259">
        <f>'[4]12. Prostredie pre život'!$AU$78</f>
        <v>42100</v>
      </c>
      <c r="AD150" s="259">
        <f>'[4]12. Prostredie pre život'!$AV$78</f>
        <v>372730</v>
      </c>
      <c r="AE150" s="260">
        <f>'[4]12. Prostredie pre život'!$AW$78</f>
        <v>0</v>
      </c>
    </row>
    <row r="151" spans="1:31" ht="16.5" thickBot="1" x14ac:dyDescent="0.3">
      <c r="A151" s="124"/>
      <c r="B151" s="293" t="s">
        <v>338</v>
      </c>
      <c r="C151" s="276" t="s">
        <v>413</v>
      </c>
      <c r="D151" s="563">
        <f t="shared" si="258"/>
        <v>0</v>
      </c>
      <c r="E151" s="564">
        <f>'[1]12. Prostredie pre život'!$AF$104</f>
        <v>0</v>
      </c>
      <c r="F151" s="564">
        <f>'[1]12. Prostredie pre život'!$AG$104</f>
        <v>0</v>
      </c>
      <c r="G151" s="565">
        <f>'[1]12. Prostredie pre život'!$AH$104</f>
        <v>0</v>
      </c>
      <c r="H151" s="563">
        <f t="shared" si="259"/>
        <v>0</v>
      </c>
      <c r="I151" s="564">
        <f>'[2]12. Prostredie pre život'!$AI$106</f>
        <v>0</v>
      </c>
      <c r="J151" s="564">
        <f>'[2]12. Prostredie pre život'!$AJ$106</f>
        <v>0</v>
      </c>
      <c r="K151" s="565">
        <f>'[2]12. Prostredie pre život'!$AK$106</f>
        <v>0</v>
      </c>
      <c r="L151" s="269">
        <f t="shared" si="260"/>
        <v>0</v>
      </c>
      <c r="M151" s="270">
        <f>'[3]12. Prostredie pre život'!$AI$106</f>
        <v>0</v>
      </c>
      <c r="N151" s="270">
        <f>'[3]12. Prostredie pre život'!$AJ$106</f>
        <v>0</v>
      </c>
      <c r="O151" s="641">
        <f>'[3]12. Prostredie pre život'!$AK$106</f>
        <v>0</v>
      </c>
      <c r="P151" s="269">
        <f t="shared" si="261"/>
        <v>0</v>
      </c>
      <c r="Q151" s="270">
        <f>'[4]12. Prostredie pre život'!$AL$106</f>
        <v>0</v>
      </c>
      <c r="R151" s="270">
        <f>'[4]12. Prostredie pre život'!$AM$106</f>
        <v>0</v>
      </c>
      <c r="S151" s="270">
        <f>'[4]12. Prostredie pre život'!$AN$106</f>
        <v>0</v>
      </c>
      <c r="T151" s="269">
        <f t="shared" si="262"/>
        <v>0</v>
      </c>
      <c r="U151" s="270">
        <f>'[4]12. Prostredie pre život'!$AO$106</f>
        <v>0</v>
      </c>
      <c r="V151" s="270">
        <f>'[4]12. Prostredie pre život'!$AP$106</f>
        <v>0</v>
      </c>
      <c r="W151" s="270">
        <f>'[4]12. Prostredie pre život'!$AQ$106</f>
        <v>0</v>
      </c>
      <c r="X151" s="269">
        <f t="shared" si="263"/>
        <v>0</v>
      </c>
      <c r="Y151" s="270">
        <f>'[4]12. Prostredie pre život'!$AR$106</f>
        <v>0</v>
      </c>
      <c r="Z151" s="270">
        <f>'[4]12. Prostredie pre život'!$AS$106</f>
        <v>0</v>
      </c>
      <c r="AA151" s="270">
        <f>'[4]12. Prostredie pre život'!$AT$106</f>
        <v>0</v>
      </c>
      <c r="AB151" s="269">
        <f t="shared" si="264"/>
        <v>0</v>
      </c>
      <c r="AC151" s="270">
        <f>'[4]12. Prostredie pre život'!$AU$106</f>
        <v>0</v>
      </c>
      <c r="AD151" s="270">
        <f>'[4]12. Prostredie pre život'!$AV$106</f>
        <v>0</v>
      </c>
      <c r="AE151" s="303">
        <f>'[4]12. Prostredie pre život'!$AW$106</f>
        <v>0</v>
      </c>
    </row>
    <row r="152" spans="1:31" s="123" customFormat="1" ht="15.75" x14ac:dyDescent="0.25">
      <c r="A152" s="125"/>
      <c r="B152" s="294" t="s">
        <v>340</v>
      </c>
      <c r="C152" s="295" t="s">
        <v>341</v>
      </c>
      <c r="D152" s="557">
        <f t="shared" ref="D152:F152" si="265">D153+D157+D163+D168+D172+D173+D174+D176+D177+D178</f>
        <v>2899930.1799999997</v>
      </c>
      <c r="E152" s="558">
        <f t="shared" si="265"/>
        <v>2874148.71</v>
      </c>
      <c r="F152" s="558">
        <f t="shared" si="265"/>
        <v>21351.67</v>
      </c>
      <c r="G152" s="559">
        <f>G153+G157+G163+G168+G172+G173+G174+G176+G177+G178</f>
        <v>4429.8</v>
      </c>
      <c r="H152" s="557">
        <f t="shared" ref="H152:J152" si="266">H153+H157+H163+H168+H172+H173+H174+H176+H177+H178</f>
        <v>2748300.58</v>
      </c>
      <c r="I152" s="558">
        <f t="shared" si="266"/>
        <v>2748300.58</v>
      </c>
      <c r="J152" s="558">
        <f t="shared" si="266"/>
        <v>0</v>
      </c>
      <c r="K152" s="559">
        <f>K153+K157+K163+K168+K172+K173+K174+K176+K177+K178</f>
        <v>0</v>
      </c>
      <c r="L152" s="267">
        <f>L153+L157+L163+L168+L172+L173+L174+L176+L177+L178</f>
        <v>4479980</v>
      </c>
      <c r="M152" s="268">
        <f t="shared" ref="M152:N152" si="267">M153+M157+M163+M168+M172+M173+M174+M176+M177+M178</f>
        <v>2879980</v>
      </c>
      <c r="N152" s="268">
        <f t="shared" si="267"/>
        <v>1600000</v>
      </c>
      <c r="O152" s="355">
        <f>O153+O157+O163+O168+O172+O173+O174+O176+O177+O178</f>
        <v>0</v>
      </c>
      <c r="P152" s="267">
        <f>P153+P157+P163+P168+P172+P173+P174+P176+P177+P178</f>
        <v>4557900</v>
      </c>
      <c r="Q152" s="268">
        <f t="shared" ref="Q152:R152" si="268">Q153+Q157+Q163+Q168+Q172+Q173+Q174+Q176+Q177+Q178</f>
        <v>2930900</v>
      </c>
      <c r="R152" s="268">
        <f t="shared" si="268"/>
        <v>1627000</v>
      </c>
      <c r="S152" s="355">
        <f>S153+S157+S163+S168+S172+S173+S174+S176+S177+S178</f>
        <v>0</v>
      </c>
      <c r="T152" s="267">
        <f>T153+T157+T163+T168+T172+T173+T174+T176+T177+T178</f>
        <v>1712132.49</v>
      </c>
      <c r="U152" s="268">
        <f t="shared" ref="U152:V152" si="269">U153+U157+U163+U168+U172+U173+U174+U176+U177+U178</f>
        <v>714232.72000000009</v>
      </c>
      <c r="V152" s="268">
        <f t="shared" si="269"/>
        <v>997899.77</v>
      </c>
      <c r="W152" s="355">
        <f>W153+W157+W163+W168+W172+W173+W174+W176+W177+W178</f>
        <v>0</v>
      </c>
      <c r="X152" s="267">
        <f>X153+X157+X163+X168+X172+X173+X174+X176+X177+X178</f>
        <v>-21659</v>
      </c>
      <c r="Y152" s="268">
        <f t="shared" ref="Y152:Z152" si="270">Y153+Y157+Y163+Y168+Y172+Y173+Y174+Y176+Y177+Y178</f>
        <v>-28000</v>
      </c>
      <c r="Z152" s="268">
        <f t="shared" si="270"/>
        <v>6341</v>
      </c>
      <c r="AA152" s="355">
        <f>AA153+AA157+AA163+AA168+AA172+AA173+AA174+AA176+AA177+AA178</f>
        <v>0</v>
      </c>
      <c r="AB152" s="267">
        <f>AB153+AB157+AB163+AB168+AB172+AB173+AB174+AB176+AB177+AB178</f>
        <v>4536241</v>
      </c>
      <c r="AC152" s="268">
        <f t="shared" ref="AC152:AD152" si="271">AC153+AC157+AC163+AC168+AC172+AC173+AC174+AC176+AC177+AC178</f>
        <v>2902900</v>
      </c>
      <c r="AD152" s="268">
        <f t="shared" si="271"/>
        <v>1633341</v>
      </c>
      <c r="AE152" s="355">
        <f>AE153+AE157+AE163+AE168+AE172+AE173+AE174+AE176+AE177+AE178</f>
        <v>0</v>
      </c>
    </row>
    <row r="153" spans="1:31" ht="15.75" x14ac:dyDescent="0.25">
      <c r="A153" s="124"/>
      <c r="B153" s="285" t="s">
        <v>342</v>
      </c>
      <c r="C153" s="274" t="s">
        <v>343</v>
      </c>
      <c r="D153" s="560">
        <f t="shared" ref="D153:G153" si="272">SUM(D154:D156)</f>
        <v>48320.4</v>
      </c>
      <c r="E153" s="561">
        <f t="shared" si="272"/>
        <v>48320.4</v>
      </c>
      <c r="F153" s="561">
        <f t="shared" si="272"/>
        <v>0</v>
      </c>
      <c r="G153" s="562">
        <f t="shared" si="272"/>
        <v>0</v>
      </c>
      <c r="H153" s="560">
        <f t="shared" ref="H153:K153" si="273">SUM(H154:H156)</f>
        <v>48450</v>
      </c>
      <c r="I153" s="561">
        <f t="shared" si="273"/>
        <v>48450</v>
      </c>
      <c r="J153" s="561">
        <f t="shared" si="273"/>
        <v>0</v>
      </c>
      <c r="K153" s="562">
        <f t="shared" si="273"/>
        <v>0</v>
      </c>
      <c r="L153" s="261">
        <f>SUM(L154:L156)</f>
        <v>18550</v>
      </c>
      <c r="M153" s="259">
        <f t="shared" ref="M153:O153" si="274">SUM(M154:M156)</f>
        <v>18550</v>
      </c>
      <c r="N153" s="259">
        <f t="shared" si="274"/>
        <v>0</v>
      </c>
      <c r="O153" s="356">
        <f t="shared" si="274"/>
        <v>0</v>
      </c>
      <c r="P153" s="261">
        <f>SUM(P154:P156)</f>
        <v>18550</v>
      </c>
      <c r="Q153" s="259">
        <f t="shared" ref="Q153:S153" si="275">SUM(Q154:Q156)</f>
        <v>18550</v>
      </c>
      <c r="R153" s="259">
        <f t="shared" si="275"/>
        <v>0</v>
      </c>
      <c r="S153" s="356">
        <f t="shared" si="275"/>
        <v>0</v>
      </c>
      <c r="T153" s="261">
        <f>SUM(T154:T156)</f>
        <v>4340</v>
      </c>
      <c r="U153" s="259">
        <f t="shared" ref="U153:W153" si="276">SUM(U154:U156)</f>
        <v>4340</v>
      </c>
      <c r="V153" s="259">
        <f t="shared" si="276"/>
        <v>0</v>
      </c>
      <c r="W153" s="356">
        <f t="shared" si="276"/>
        <v>0</v>
      </c>
      <c r="X153" s="261">
        <f>SUM(X154:X156)</f>
        <v>0</v>
      </c>
      <c r="Y153" s="259">
        <f t="shared" ref="Y153:AA153" si="277">SUM(Y154:Y156)</f>
        <v>0</v>
      </c>
      <c r="Z153" s="259">
        <f t="shared" si="277"/>
        <v>0</v>
      </c>
      <c r="AA153" s="356">
        <f t="shared" si="277"/>
        <v>0</v>
      </c>
      <c r="AB153" s="261">
        <f>SUM(AB154:AB156)</f>
        <v>18550</v>
      </c>
      <c r="AC153" s="259">
        <f t="shared" ref="AC153:AE153" si="278">SUM(AC154:AC156)</f>
        <v>18550</v>
      </c>
      <c r="AD153" s="259">
        <f t="shared" si="278"/>
        <v>0</v>
      </c>
      <c r="AE153" s="356">
        <f t="shared" si="278"/>
        <v>0</v>
      </c>
    </row>
    <row r="154" spans="1:31" ht="15.75" x14ac:dyDescent="0.25">
      <c r="A154" s="124"/>
      <c r="B154" s="273">
        <v>1</v>
      </c>
      <c r="C154" s="274" t="s">
        <v>344</v>
      </c>
      <c r="D154" s="560">
        <f>SUM(E154:G154)</f>
        <v>39830</v>
      </c>
      <c r="E154" s="561">
        <f>'[1]13. Sociálna starostlivosť'!$AF$5</f>
        <v>39830</v>
      </c>
      <c r="F154" s="561">
        <f>'[1]13. Sociálna starostlivosť'!$AG$5</f>
        <v>0</v>
      </c>
      <c r="G154" s="562">
        <f>'[1]13. Sociálna starostlivosť'!$AH$5</f>
        <v>0</v>
      </c>
      <c r="H154" s="560">
        <f>SUM(I154:K154)</f>
        <v>43300</v>
      </c>
      <c r="I154" s="561">
        <f>'[2]13. Sociálna starostlivosť'!$AI$5</f>
        <v>43300</v>
      </c>
      <c r="J154" s="561">
        <f>'[2]13. Sociálna starostlivosť'!$AJ$5</f>
        <v>0</v>
      </c>
      <c r="K154" s="562">
        <f>'[2]13. Sociálna starostlivosť'!$AK$5</f>
        <v>0</v>
      </c>
      <c r="L154" s="261">
        <f>SUM(M154:O154)</f>
        <v>7050</v>
      </c>
      <c r="M154" s="259">
        <f>'[3]13. Sociálna starostlivosť'!$AI$5</f>
        <v>7050</v>
      </c>
      <c r="N154" s="259">
        <f>'[3]13. Sociálna starostlivosť'!$AJ$5</f>
        <v>0</v>
      </c>
      <c r="O154" s="356">
        <f>'[3]13. Sociálna starostlivosť'!$AK$5</f>
        <v>0</v>
      </c>
      <c r="P154" s="261">
        <f>SUM(Q154:S154)</f>
        <v>7050</v>
      </c>
      <c r="Q154" s="259">
        <f>'[4]13. Sociálna starostlivosť'!$AL$5</f>
        <v>7050</v>
      </c>
      <c r="R154" s="259">
        <f>'[4]13. Sociálna starostlivosť'!$AM$5</f>
        <v>0</v>
      </c>
      <c r="S154" s="259">
        <f>'[4]13. Sociálna starostlivosť'!$AN$5</f>
        <v>0</v>
      </c>
      <c r="T154" s="261">
        <f>SUM(U154:W154)</f>
        <v>1760</v>
      </c>
      <c r="U154" s="259">
        <f>'[4]13. Sociálna starostlivosť'!$AO$5</f>
        <v>1760</v>
      </c>
      <c r="V154" s="259">
        <f>'[4]13. Sociálna starostlivosť'!$AP$5</f>
        <v>0</v>
      </c>
      <c r="W154" s="259">
        <f>'[4]13. Sociálna starostlivosť'!$AQ$5</f>
        <v>0</v>
      </c>
      <c r="X154" s="261">
        <f>SUM(Y154:AA154)</f>
        <v>0</v>
      </c>
      <c r="Y154" s="259">
        <f>'[4]13. Sociálna starostlivosť'!$AR$5</f>
        <v>0</v>
      </c>
      <c r="Z154" s="259">
        <f>'[4]13. Sociálna starostlivosť'!$AS$5</f>
        <v>0</v>
      </c>
      <c r="AA154" s="259">
        <f>'[4]13. Sociálna starostlivosť'!$AT$5</f>
        <v>0</v>
      </c>
      <c r="AB154" s="261">
        <f>SUM(AC154:AE154)</f>
        <v>7050</v>
      </c>
      <c r="AC154" s="259">
        <f>'[4]13. Sociálna starostlivosť'!$AU$5</f>
        <v>7050</v>
      </c>
      <c r="AD154" s="259">
        <f>'[4]13. Sociálna starostlivosť'!$AV$5</f>
        <v>0</v>
      </c>
      <c r="AE154" s="260">
        <f>'[4]13. Sociálna starostlivosť'!$AW$5</f>
        <v>0</v>
      </c>
    </row>
    <row r="155" spans="1:31" ht="15.75" x14ac:dyDescent="0.25">
      <c r="A155" s="124"/>
      <c r="B155" s="273">
        <v>2</v>
      </c>
      <c r="C155" s="274" t="s">
        <v>345</v>
      </c>
      <c r="D155" s="560">
        <f>SUM(E155:G155)</f>
        <v>0</v>
      </c>
      <c r="E155" s="561">
        <f>'[1]13. Sociálna starostlivosť'!$AF$8</f>
        <v>0</v>
      </c>
      <c r="F155" s="561">
        <f>'[1]13. Sociálna starostlivosť'!$AG$8</f>
        <v>0</v>
      </c>
      <c r="G155" s="562">
        <f>'[1]13. Sociálna starostlivosť'!$AH$8</f>
        <v>0</v>
      </c>
      <c r="H155" s="560">
        <f>SUM(I155:K155)</f>
        <v>0</v>
      </c>
      <c r="I155" s="561">
        <f>'[2]13. Sociálna starostlivosť'!$AI$8</f>
        <v>0</v>
      </c>
      <c r="J155" s="561">
        <f>'[2]13. Sociálna starostlivosť'!$AJ$8</f>
        <v>0</v>
      </c>
      <c r="K155" s="562">
        <f>'[2]13. Sociálna starostlivosť'!$AK$8</f>
        <v>0</v>
      </c>
      <c r="L155" s="261">
        <f>SUM(M155:O155)</f>
        <v>0</v>
      </c>
      <c r="M155" s="259">
        <f>'[3]13. Sociálna starostlivosť'!$AI$8</f>
        <v>0</v>
      </c>
      <c r="N155" s="259">
        <f>'[3]13. Sociálna starostlivosť'!$AJ$8</f>
        <v>0</v>
      </c>
      <c r="O155" s="356">
        <f>'[3]13. Sociálna starostlivosť'!$AK$8</f>
        <v>0</v>
      </c>
      <c r="P155" s="261">
        <f>SUM(Q155:S155)</f>
        <v>0</v>
      </c>
      <c r="Q155" s="259">
        <f>'[4]13. Sociálna starostlivosť'!$AL$8</f>
        <v>0</v>
      </c>
      <c r="R155" s="259">
        <f>'[4]13. Sociálna starostlivosť'!$AM$8</f>
        <v>0</v>
      </c>
      <c r="S155" s="259">
        <f>'[4]13. Sociálna starostlivosť'!$AN$8</f>
        <v>0</v>
      </c>
      <c r="T155" s="261">
        <f>SUM(U155:W155)</f>
        <v>0</v>
      </c>
      <c r="U155" s="259">
        <f>'[4]13. Sociálna starostlivosť'!$AO$8</f>
        <v>0</v>
      </c>
      <c r="V155" s="259">
        <f>'[4]13. Sociálna starostlivosť'!$AP$8</f>
        <v>0</v>
      </c>
      <c r="W155" s="259">
        <f>'[4]13. Sociálna starostlivosť'!$AQ$8</f>
        <v>0</v>
      </c>
      <c r="X155" s="261">
        <f>SUM(Y155:AA155)</f>
        <v>0</v>
      </c>
      <c r="Y155" s="259">
        <f>'[4]13. Sociálna starostlivosť'!$AR$8</f>
        <v>0</v>
      </c>
      <c r="Z155" s="259">
        <f>'[4]13. Sociálna starostlivosť'!$AS$8</f>
        <v>0</v>
      </c>
      <c r="AA155" s="259">
        <f>'[4]13. Sociálna starostlivosť'!$AT$8</f>
        <v>0</v>
      </c>
      <c r="AB155" s="261">
        <f>SUM(AC155:AE155)</f>
        <v>0</v>
      </c>
      <c r="AC155" s="259">
        <f>'[4]13. Sociálna starostlivosť'!$AU$8</f>
        <v>0</v>
      </c>
      <c r="AD155" s="259">
        <f>'[4]13. Sociálna starostlivosť'!$AV$8</f>
        <v>0</v>
      </c>
      <c r="AE155" s="260">
        <f>'[4]13. Sociálna starostlivosť'!$AW$8</f>
        <v>0</v>
      </c>
    </row>
    <row r="156" spans="1:31" ht="15.75" x14ac:dyDescent="0.25">
      <c r="A156" s="124"/>
      <c r="B156" s="273">
        <v>3</v>
      </c>
      <c r="C156" s="274" t="s">
        <v>346</v>
      </c>
      <c r="D156" s="560">
        <f>SUM(E156:G156)</f>
        <v>8490.4</v>
      </c>
      <c r="E156" s="561">
        <f>'[1]13. Sociálna starostlivosť'!$AF$9</f>
        <v>8490.4</v>
      </c>
      <c r="F156" s="561">
        <f>'[1]13. Sociálna starostlivosť'!$AG$9</f>
        <v>0</v>
      </c>
      <c r="G156" s="562">
        <f>'[1]13. Sociálna starostlivosť'!$AH$9</f>
        <v>0</v>
      </c>
      <c r="H156" s="560">
        <f>SUM(I156:K156)</f>
        <v>5150</v>
      </c>
      <c r="I156" s="561">
        <f>'[2]13. Sociálna starostlivosť'!$AI$9</f>
        <v>5150</v>
      </c>
      <c r="J156" s="561">
        <f>'[2]13. Sociálna starostlivosť'!$AJ$9</f>
        <v>0</v>
      </c>
      <c r="K156" s="562">
        <f>'[2]13. Sociálna starostlivosť'!$AK$9</f>
        <v>0</v>
      </c>
      <c r="L156" s="261">
        <f>SUM(M156:O156)</f>
        <v>11500</v>
      </c>
      <c r="M156" s="259">
        <f>'[3]13. Sociálna starostlivosť'!$AI$9</f>
        <v>11500</v>
      </c>
      <c r="N156" s="259">
        <f>'[3]13. Sociálna starostlivosť'!$AJ$9</f>
        <v>0</v>
      </c>
      <c r="O156" s="356">
        <f>'[3]13. Sociálna starostlivosť'!$AK$9</f>
        <v>0</v>
      </c>
      <c r="P156" s="261">
        <f>SUM(Q156:S156)</f>
        <v>11500</v>
      </c>
      <c r="Q156" s="259">
        <f>'[4]13. Sociálna starostlivosť'!$AL$9</f>
        <v>11500</v>
      </c>
      <c r="R156" s="259">
        <f>'[4]13. Sociálna starostlivosť'!$AM$9</f>
        <v>0</v>
      </c>
      <c r="S156" s="259">
        <f>'[4]13. Sociálna starostlivosť'!$AN$9</f>
        <v>0</v>
      </c>
      <c r="T156" s="261">
        <f>SUM(U156:W156)</f>
        <v>2580</v>
      </c>
      <c r="U156" s="259">
        <f>'[4]13. Sociálna starostlivosť'!$AO$9</f>
        <v>2580</v>
      </c>
      <c r="V156" s="259">
        <f>'[4]13. Sociálna starostlivosť'!$AP$9</f>
        <v>0</v>
      </c>
      <c r="W156" s="259">
        <f>'[4]13. Sociálna starostlivosť'!$AQ$9</f>
        <v>0</v>
      </c>
      <c r="X156" s="261">
        <f>SUM(Y156:AA156)</f>
        <v>0</v>
      </c>
      <c r="Y156" s="259">
        <f>'[4]13. Sociálna starostlivosť'!$AR$9</f>
        <v>0</v>
      </c>
      <c r="Z156" s="259">
        <f>'[4]13. Sociálna starostlivosť'!$AS$9</f>
        <v>0</v>
      </c>
      <c r="AA156" s="259">
        <f>'[4]13. Sociálna starostlivosť'!$AT$9</f>
        <v>0</v>
      </c>
      <c r="AB156" s="261">
        <f>SUM(AC156:AE156)</f>
        <v>11500</v>
      </c>
      <c r="AC156" s="259">
        <f>'[4]13. Sociálna starostlivosť'!$AU$9</f>
        <v>11500</v>
      </c>
      <c r="AD156" s="259">
        <f>'[4]13. Sociálna starostlivosť'!$AV$9</f>
        <v>0</v>
      </c>
      <c r="AE156" s="260">
        <f>'[4]13. Sociálna starostlivosť'!$AW$9</f>
        <v>0</v>
      </c>
    </row>
    <row r="157" spans="1:31" ht="15.75" x14ac:dyDescent="0.25">
      <c r="A157" s="125"/>
      <c r="B157" s="285" t="s">
        <v>347</v>
      </c>
      <c r="C157" s="274" t="s">
        <v>348</v>
      </c>
      <c r="D157" s="560">
        <f t="shared" ref="D157:G157" si="279">SUM(D158:D161)</f>
        <v>256808.88</v>
      </c>
      <c r="E157" s="561">
        <f t="shared" si="279"/>
        <v>240826.91999999998</v>
      </c>
      <c r="F157" s="561">
        <f t="shared" si="279"/>
        <v>15981.96</v>
      </c>
      <c r="G157" s="562">
        <f t="shared" si="279"/>
        <v>0</v>
      </c>
      <c r="H157" s="560">
        <f t="shared" ref="H157:K157" si="280">SUM(H158:H161)</f>
        <v>215170</v>
      </c>
      <c r="I157" s="561">
        <f t="shared" si="280"/>
        <v>215170</v>
      </c>
      <c r="J157" s="561">
        <f t="shared" si="280"/>
        <v>0</v>
      </c>
      <c r="K157" s="562">
        <f t="shared" si="280"/>
        <v>0</v>
      </c>
      <c r="L157" s="261">
        <f t="shared" ref="L157:S157" si="281">SUM(L158:L162)</f>
        <v>1842900</v>
      </c>
      <c r="M157" s="259">
        <f t="shared" si="281"/>
        <v>252900</v>
      </c>
      <c r="N157" s="259">
        <f t="shared" si="281"/>
        <v>1590000</v>
      </c>
      <c r="O157" s="260">
        <f t="shared" si="281"/>
        <v>0</v>
      </c>
      <c r="P157" s="261">
        <f t="shared" si="281"/>
        <v>1869900</v>
      </c>
      <c r="Q157" s="259">
        <f t="shared" si="281"/>
        <v>252900</v>
      </c>
      <c r="R157" s="259">
        <f t="shared" si="281"/>
        <v>1617000</v>
      </c>
      <c r="S157" s="260">
        <f t="shared" si="281"/>
        <v>0</v>
      </c>
      <c r="T157" s="261">
        <f t="shared" ref="T157:W157" si="282">SUM(T158:T162)</f>
        <v>1037285.76</v>
      </c>
      <c r="U157" s="259">
        <f t="shared" si="282"/>
        <v>45314.59</v>
      </c>
      <c r="V157" s="259">
        <f t="shared" si="282"/>
        <v>991971.17</v>
      </c>
      <c r="W157" s="260">
        <f t="shared" si="282"/>
        <v>0</v>
      </c>
      <c r="X157" s="261">
        <f t="shared" ref="X157:AE157" si="283">SUM(X158:X162)</f>
        <v>0</v>
      </c>
      <c r="Y157" s="259">
        <f t="shared" si="283"/>
        <v>0</v>
      </c>
      <c r="Z157" s="259">
        <f t="shared" si="283"/>
        <v>0</v>
      </c>
      <c r="AA157" s="260">
        <f t="shared" si="283"/>
        <v>0</v>
      </c>
      <c r="AB157" s="261">
        <f t="shared" si="283"/>
        <v>1869900</v>
      </c>
      <c r="AC157" s="259">
        <f t="shared" si="283"/>
        <v>252900</v>
      </c>
      <c r="AD157" s="259">
        <f t="shared" si="283"/>
        <v>1617000</v>
      </c>
      <c r="AE157" s="260">
        <f t="shared" si="283"/>
        <v>0</v>
      </c>
    </row>
    <row r="158" spans="1:31" ht="15.75" x14ac:dyDescent="0.25">
      <c r="A158" s="125"/>
      <c r="B158" s="273">
        <v>1</v>
      </c>
      <c r="C158" s="274" t="s">
        <v>349</v>
      </c>
      <c r="D158" s="560">
        <f>SUM(E158:G158)</f>
        <v>93581.959999999992</v>
      </c>
      <c r="E158" s="561">
        <f>'[1]13. Sociálna starostlivosť'!$AF$17</f>
        <v>77600</v>
      </c>
      <c r="F158" s="561">
        <f>'[1]13. Sociálna starostlivosť'!$AG$17</f>
        <v>15981.96</v>
      </c>
      <c r="G158" s="562">
        <f>'[1]13. Sociálna starostlivosť'!$AH$17</f>
        <v>0</v>
      </c>
      <c r="H158" s="560">
        <f>SUM(I158:K158)</f>
        <v>63220</v>
      </c>
      <c r="I158" s="561">
        <f>'[2]13. Sociálna starostlivosť'!$AI$17</f>
        <v>63220</v>
      </c>
      <c r="J158" s="561">
        <f>'[2]13. Sociálna starostlivosť'!$AJ$17</f>
        <v>0</v>
      </c>
      <c r="K158" s="562">
        <f>'[2]13. Sociálna starostlivosť'!$AK$17</f>
        <v>0</v>
      </c>
      <c r="L158" s="261">
        <f>SUM(M158:O158)</f>
        <v>90000</v>
      </c>
      <c r="M158" s="259">
        <f>'[3]13. Sociálna starostlivosť'!$AI$17</f>
        <v>90000</v>
      </c>
      <c r="N158" s="259">
        <f>'[3]13. Sociálna starostlivosť'!$AJ$17</f>
        <v>0</v>
      </c>
      <c r="O158" s="356">
        <f>'[3]13. Sociálna starostlivosť'!$AK$17</f>
        <v>0</v>
      </c>
      <c r="P158" s="261">
        <f>SUM(Q158:S158)</f>
        <v>90000</v>
      </c>
      <c r="Q158" s="259">
        <f>'[4]13. Sociálna starostlivosť'!$AL$17</f>
        <v>90000</v>
      </c>
      <c r="R158" s="259">
        <f>'[4]13. Sociálna starostlivosť'!$AM$17</f>
        <v>0</v>
      </c>
      <c r="S158" s="259">
        <f>'[4]13. Sociálna starostlivosť'!$AN$17</f>
        <v>0</v>
      </c>
      <c r="T158" s="261">
        <f>SUM(U158:W158)</f>
        <v>14630</v>
      </c>
      <c r="U158" s="259">
        <f>'[4]13. Sociálna starostlivosť'!$AO$17</f>
        <v>14630</v>
      </c>
      <c r="V158" s="259">
        <f>'[4]13. Sociálna starostlivosť'!$AP$17</f>
        <v>0</v>
      </c>
      <c r="W158" s="259">
        <f>'[4]13. Sociálna starostlivosť'!$AQ$17</f>
        <v>0</v>
      </c>
      <c r="X158" s="261">
        <f>SUM(Y158:AA158)</f>
        <v>0</v>
      </c>
      <c r="Y158" s="259">
        <f>'[4]13. Sociálna starostlivosť'!$AR$17</f>
        <v>0</v>
      </c>
      <c r="Z158" s="259">
        <f>'[4]13. Sociálna starostlivosť'!$AS$17</f>
        <v>0</v>
      </c>
      <c r="AA158" s="259">
        <f>'[4]13. Sociálna starostlivosť'!$AT$17</f>
        <v>0</v>
      </c>
      <c r="AB158" s="261">
        <f>SUM(AC158:AE158)</f>
        <v>90000</v>
      </c>
      <c r="AC158" s="259">
        <f>'[4]13. Sociálna starostlivosť'!$AU$17</f>
        <v>90000</v>
      </c>
      <c r="AD158" s="259">
        <f>'[4]13. Sociálna starostlivosť'!$AV$17</f>
        <v>0</v>
      </c>
      <c r="AE158" s="260">
        <f>'[4]13. Sociálna starostlivosť'!$AW$17</f>
        <v>0</v>
      </c>
    </row>
    <row r="159" spans="1:31" ht="15.75" x14ac:dyDescent="0.25">
      <c r="A159" s="125"/>
      <c r="B159" s="273">
        <v>2</v>
      </c>
      <c r="C159" s="274" t="s">
        <v>350</v>
      </c>
      <c r="D159" s="560">
        <f>SUM(E159:G159)</f>
        <v>39750</v>
      </c>
      <c r="E159" s="561">
        <f>'[1]13. Sociálna starostlivosť'!$AF$21</f>
        <v>39750</v>
      </c>
      <c r="F159" s="561">
        <f>'[1]13. Sociálna starostlivosť'!$AG$21</f>
        <v>0</v>
      </c>
      <c r="G159" s="562">
        <f>'[1]13. Sociálna starostlivosť'!$AH$21</f>
        <v>0</v>
      </c>
      <c r="H159" s="560">
        <f>SUM(I159:K159)</f>
        <v>40220</v>
      </c>
      <c r="I159" s="561">
        <f>'[2]13. Sociálna starostlivosť'!$AI$21</f>
        <v>40220</v>
      </c>
      <c r="J159" s="561">
        <f>'[2]13. Sociálna starostlivosť'!$AJ$21</f>
        <v>0</v>
      </c>
      <c r="K159" s="562">
        <f>'[2]13. Sociálna starostlivosť'!$AK$21</f>
        <v>0</v>
      </c>
      <c r="L159" s="261">
        <f>SUM(M159:O159)</f>
        <v>10000</v>
      </c>
      <c r="M159" s="259">
        <f>'[3]13. Sociálna starostlivosť'!$AI$21</f>
        <v>10000</v>
      </c>
      <c r="N159" s="259">
        <f>'[3]13. Sociálna starostlivosť'!$AJ$21</f>
        <v>0</v>
      </c>
      <c r="O159" s="356">
        <f>'[3]13. Sociálna starostlivosť'!$AK$21</f>
        <v>0</v>
      </c>
      <c r="P159" s="261">
        <f>SUM(Q159:S159)</f>
        <v>10000</v>
      </c>
      <c r="Q159" s="259">
        <f>'[4]13. Sociálna starostlivosť'!$AL$21</f>
        <v>10000</v>
      </c>
      <c r="R159" s="259">
        <f>'[4]13. Sociálna starostlivosť'!$AM$21</f>
        <v>0</v>
      </c>
      <c r="S159" s="259">
        <f>'[4]13. Sociálna starostlivosť'!$AN$21</f>
        <v>0</v>
      </c>
      <c r="T159" s="261">
        <f>SUM(U159:W159)</f>
        <v>1620</v>
      </c>
      <c r="U159" s="259">
        <f>'[4]13. Sociálna starostlivosť'!$AO$21</f>
        <v>1620</v>
      </c>
      <c r="V159" s="259">
        <f>'[4]13. Sociálna starostlivosť'!$AP$21</f>
        <v>0</v>
      </c>
      <c r="W159" s="259">
        <f>'[4]13. Sociálna starostlivosť'!$AQ$21</f>
        <v>0</v>
      </c>
      <c r="X159" s="261">
        <f>SUM(Y159:AA159)</f>
        <v>0</v>
      </c>
      <c r="Y159" s="259">
        <f>'[4]13. Sociálna starostlivosť'!$AR$21</f>
        <v>0</v>
      </c>
      <c r="Z159" s="259">
        <f>'[4]13. Sociálna starostlivosť'!$AS$21</f>
        <v>0</v>
      </c>
      <c r="AA159" s="259">
        <f>'[4]13. Sociálna starostlivosť'!$AT$21</f>
        <v>0</v>
      </c>
      <c r="AB159" s="261">
        <f>SUM(AC159:AE159)</f>
        <v>10000</v>
      </c>
      <c r="AC159" s="259">
        <f>'[4]13. Sociálna starostlivosť'!$AU$21</f>
        <v>10000</v>
      </c>
      <c r="AD159" s="259">
        <f>'[4]13. Sociálna starostlivosť'!$AV$21</f>
        <v>0</v>
      </c>
      <c r="AE159" s="260">
        <f>'[4]13. Sociálna starostlivosť'!$AW$21</f>
        <v>0</v>
      </c>
    </row>
    <row r="160" spans="1:31" ht="15.75" x14ac:dyDescent="0.25">
      <c r="A160" s="125"/>
      <c r="B160" s="273">
        <v>3</v>
      </c>
      <c r="C160" s="274" t="s">
        <v>351</v>
      </c>
      <c r="D160" s="560">
        <f>SUM(E160:G160)</f>
        <v>0</v>
      </c>
      <c r="E160" s="561">
        <f>'[1]13. Sociálna starostlivosť'!$AF$24</f>
        <v>0</v>
      </c>
      <c r="F160" s="561">
        <f>'[1]13. Sociálna starostlivosť'!$AG$24</f>
        <v>0</v>
      </c>
      <c r="G160" s="562">
        <f>'[1]13. Sociálna starostlivosť'!$AH$24</f>
        <v>0</v>
      </c>
      <c r="H160" s="560">
        <f>SUM(I160:K160)</f>
        <v>0</v>
      </c>
      <c r="I160" s="561">
        <f>'[2]13. Sociálna starostlivosť'!$AI$24</f>
        <v>0</v>
      </c>
      <c r="J160" s="561">
        <f>'[2]13. Sociálna starostlivosť'!$AJ$24</f>
        <v>0</v>
      </c>
      <c r="K160" s="562">
        <f>'[2]13. Sociálna starostlivosť'!$AK$24</f>
        <v>0</v>
      </c>
      <c r="L160" s="261">
        <f>SUM(M160:O160)</f>
        <v>0</v>
      </c>
      <c r="M160" s="259">
        <f>'[3]13. Sociálna starostlivosť'!$AI$24</f>
        <v>0</v>
      </c>
      <c r="N160" s="259">
        <f>'[3]13. Sociálna starostlivosť'!$AJ$24</f>
        <v>0</v>
      </c>
      <c r="O160" s="356">
        <f>'[3]13. Sociálna starostlivosť'!$AK$24</f>
        <v>0</v>
      </c>
      <c r="P160" s="261">
        <f>SUM(Q160:S160)</f>
        <v>0</v>
      </c>
      <c r="Q160" s="259">
        <f>'[4]13. Sociálna starostlivosť'!$AL$24</f>
        <v>0</v>
      </c>
      <c r="R160" s="259">
        <f>'[4]13. Sociálna starostlivosť'!$AM$24</f>
        <v>0</v>
      </c>
      <c r="S160" s="259">
        <f>'[4]13. Sociálna starostlivosť'!$AN$24</f>
        <v>0</v>
      </c>
      <c r="T160" s="261">
        <f>SUM(U160:W160)</f>
        <v>0</v>
      </c>
      <c r="U160" s="259">
        <f>'[4]13. Sociálna starostlivosť'!$AO$24</f>
        <v>0</v>
      </c>
      <c r="V160" s="259">
        <f>'[4]13. Sociálna starostlivosť'!$AP$24</f>
        <v>0</v>
      </c>
      <c r="W160" s="259">
        <f>'[4]13. Sociálna starostlivosť'!$AQ$24</f>
        <v>0</v>
      </c>
      <c r="X160" s="261">
        <f>SUM(Y160:AA160)</f>
        <v>0</v>
      </c>
      <c r="Y160" s="259">
        <f>'[4]13. Sociálna starostlivosť'!$AR$24</f>
        <v>0</v>
      </c>
      <c r="Z160" s="259">
        <f>'[4]13. Sociálna starostlivosť'!$AS$24</f>
        <v>0</v>
      </c>
      <c r="AA160" s="259">
        <f>'[4]13. Sociálna starostlivosť'!$AT$24</f>
        <v>0</v>
      </c>
      <c r="AB160" s="261">
        <f>SUM(AC160:AE160)</f>
        <v>0</v>
      </c>
      <c r="AC160" s="259">
        <f>'[4]13. Sociálna starostlivosť'!$AU$24</f>
        <v>0</v>
      </c>
      <c r="AD160" s="259">
        <f>'[4]13. Sociálna starostlivosť'!$AV$24</f>
        <v>0</v>
      </c>
      <c r="AE160" s="260">
        <f>'[4]13. Sociálna starostlivosť'!$AW$24</f>
        <v>0</v>
      </c>
    </row>
    <row r="161" spans="1:31" ht="15.75" x14ac:dyDescent="0.25">
      <c r="A161" s="125"/>
      <c r="B161" s="273">
        <v>4</v>
      </c>
      <c r="C161" s="274" t="s">
        <v>352</v>
      </c>
      <c r="D161" s="560">
        <f>SUM(E161:G161)</f>
        <v>123476.92</v>
      </c>
      <c r="E161" s="561">
        <f>'[1]13. Sociálna starostlivosť'!$AF$26</f>
        <v>123476.92</v>
      </c>
      <c r="F161" s="561">
        <f>'[1]13. Sociálna starostlivosť'!$AG$26</f>
        <v>0</v>
      </c>
      <c r="G161" s="562">
        <f>'[1]13. Sociálna starostlivosť'!$AH$26</f>
        <v>0</v>
      </c>
      <c r="H161" s="560">
        <f>SUM(I161:K161)</f>
        <v>111730</v>
      </c>
      <c r="I161" s="561">
        <f>'[2]13. Sociálna starostlivosť'!$AI$26</f>
        <v>111730</v>
      </c>
      <c r="J161" s="561">
        <f>'[2]13. Sociálna starostlivosť'!$AJ$26</f>
        <v>0</v>
      </c>
      <c r="K161" s="562">
        <f>'[2]13. Sociálna starostlivosť'!$AK$26</f>
        <v>0</v>
      </c>
      <c r="L161" s="261">
        <f>SUM(M161:O161)</f>
        <v>122900</v>
      </c>
      <c r="M161" s="259">
        <f>'[3]13. Sociálna starostlivosť'!$AI$26</f>
        <v>122900</v>
      </c>
      <c r="N161" s="259">
        <f>'[3]13. Sociálna starostlivosť'!$AJ$26</f>
        <v>0</v>
      </c>
      <c r="O161" s="356">
        <f>'[3]13. Sociálna starostlivosť'!$AK$26</f>
        <v>0</v>
      </c>
      <c r="P161" s="261">
        <f>SUM(Q161:S161)</f>
        <v>122900</v>
      </c>
      <c r="Q161" s="259">
        <f>'[4]13. Sociálna starostlivosť'!$AL$26</f>
        <v>122900</v>
      </c>
      <c r="R161" s="259">
        <f>'[4]13. Sociálna starostlivosť'!$AM$26</f>
        <v>0</v>
      </c>
      <c r="S161" s="259">
        <f>'[4]13. Sociálna starostlivosť'!$AN$26</f>
        <v>0</v>
      </c>
      <c r="T161" s="261">
        <f>SUM(U161:W161)</f>
        <v>29064.59</v>
      </c>
      <c r="U161" s="259">
        <f>'[4]13. Sociálna starostlivosť'!$AO$26</f>
        <v>29064.59</v>
      </c>
      <c r="V161" s="259">
        <f>'[4]13. Sociálna starostlivosť'!$AP$26</f>
        <v>0</v>
      </c>
      <c r="W161" s="259">
        <f>'[4]13. Sociálna starostlivosť'!$AQ$26</f>
        <v>0</v>
      </c>
      <c r="X161" s="261">
        <f>SUM(Y161:AA161)</f>
        <v>0</v>
      </c>
      <c r="Y161" s="259">
        <f>'[4]13. Sociálna starostlivosť'!$AR$26</f>
        <v>0</v>
      </c>
      <c r="Z161" s="259">
        <f>'[4]13. Sociálna starostlivosť'!$AS$26</f>
        <v>0</v>
      </c>
      <c r="AA161" s="259">
        <f>'[4]13. Sociálna starostlivosť'!$AT$26</f>
        <v>0</v>
      </c>
      <c r="AB161" s="261">
        <f>SUM(AC161:AE161)</f>
        <v>122900</v>
      </c>
      <c r="AC161" s="259">
        <f>'[4]13. Sociálna starostlivosť'!$AU$26</f>
        <v>122900</v>
      </c>
      <c r="AD161" s="259">
        <f>'[4]13. Sociálna starostlivosť'!$AV$26</f>
        <v>0</v>
      </c>
      <c r="AE161" s="260">
        <f>'[4]13. Sociálna starostlivosť'!$AW$26</f>
        <v>0</v>
      </c>
    </row>
    <row r="162" spans="1:31" ht="15.75" x14ac:dyDescent="0.25">
      <c r="A162" s="125"/>
      <c r="B162" s="273">
        <v>5</v>
      </c>
      <c r="C162" s="274" t="s">
        <v>662</v>
      </c>
      <c r="D162" s="560"/>
      <c r="E162" s="561"/>
      <c r="F162" s="561"/>
      <c r="G162" s="562"/>
      <c r="H162" s="560"/>
      <c r="I162" s="561"/>
      <c r="J162" s="561"/>
      <c r="K162" s="562"/>
      <c r="L162" s="261">
        <f>SUM(M162:O162)</f>
        <v>1620000</v>
      </c>
      <c r="M162" s="259">
        <f>'[3]13. Sociálna starostlivosť'!$AI$29</f>
        <v>30000</v>
      </c>
      <c r="N162" s="259">
        <f>'[3]13. Sociálna starostlivosť'!$AJ$29</f>
        <v>1590000</v>
      </c>
      <c r="O162" s="260">
        <f>'[3]13. Sociálna starostlivosť'!$AK$29</f>
        <v>0</v>
      </c>
      <c r="P162" s="261">
        <f>SUM(Q162:S162)</f>
        <v>1647000</v>
      </c>
      <c r="Q162" s="259">
        <f>'[4]13. Sociálna starostlivosť'!$AL$29</f>
        <v>30000</v>
      </c>
      <c r="R162" s="259">
        <f>'[4]13. Sociálna starostlivosť'!$AM$29</f>
        <v>1617000</v>
      </c>
      <c r="S162" s="259">
        <f>'[4]13. Sociálna starostlivosť'!$AN$29</f>
        <v>0</v>
      </c>
      <c r="T162" s="261">
        <f>SUM(U162:W162)</f>
        <v>991971.17</v>
      </c>
      <c r="U162" s="259">
        <f>'[4]13. Sociálna starostlivosť'!$AO$29</f>
        <v>0</v>
      </c>
      <c r="V162" s="259">
        <f>'[4]13. Sociálna starostlivosť'!$AP$29</f>
        <v>991971.17</v>
      </c>
      <c r="W162" s="259">
        <f>'[4]13. Sociálna starostlivosť'!$AQ$29</f>
        <v>0</v>
      </c>
      <c r="X162" s="261">
        <f>SUM(Y162:AA162)</f>
        <v>0</v>
      </c>
      <c r="Y162" s="259">
        <f>'[4]13. Sociálna starostlivosť'!$AR$29</f>
        <v>0</v>
      </c>
      <c r="Z162" s="259">
        <f>'[4]13. Sociálna starostlivosť'!$AS$29</f>
        <v>0</v>
      </c>
      <c r="AA162" s="259">
        <f>'[4]13. Sociálna starostlivosť'!$AT$29</f>
        <v>0</v>
      </c>
      <c r="AB162" s="261">
        <f>SUM(AC162:AE162)</f>
        <v>1647000</v>
      </c>
      <c r="AC162" s="259">
        <f>'[4]13. Sociálna starostlivosť'!$AU$29</f>
        <v>30000</v>
      </c>
      <c r="AD162" s="259">
        <f>'[4]13. Sociálna starostlivosť'!$AV$29</f>
        <v>1617000</v>
      </c>
      <c r="AE162" s="260">
        <f>'[4]13. Sociálna starostlivosť'!$AW$29</f>
        <v>0</v>
      </c>
    </row>
    <row r="163" spans="1:31" ht="15.75" x14ac:dyDescent="0.25">
      <c r="A163" s="122"/>
      <c r="B163" s="285" t="s">
        <v>353</v>
      </c>
      <c r="C163" s="274" t="s">
        <v>354</v>
      </c>
      <c r="D163" s="560">
        <f t="shared" ref="D163:G163" si="284">SUM(D164:D167)</f>
        <v>1705279.0099999998</v>
      </c>
      <c r="E163" s="561">
        <f t="shared" si="284"/>
        <v>1699909.2999999998</v>
      </c>
      <c r="F163" s="561">
        <f t="shared" si="284"/>
        <v>5369.71</v>
      </c>
      <c r="G163" s="562">
        <f t="shared" si="284"/>
        <v>0</v>
      </c>
      <c r="H163" s="560">
        <f t="shared" ref="H163:K163" si="285">SUM(H164:H167)</f>
        <v>1857116.5</v>
      </c>
      <c r="I163" s="561">
        <f t="shared" si="285"/>
        <v>1857116.5</v>
      </c>
      <c r="J163" s="561">
        <f t="shared" si="285"/>
        <v>0</v>
      </c>
      <c r="K163" s="562">
        <f t="shared" si="285"/>
        <v>0</v>
      </c>
      <c r="L163" s="261">
        <f t="shared" ref="L163:O163" si="286">SUM(L164:L167)</f>
        <v>2095250</v>
      </c>
      <c r="M163" s="259">
        <f t="shared" si="286"/>
        <v>2085250</v>
      </c>
      <c r="N163" s="259">
        <f t="shared" si="286"/>
        <v>10000</v>
      </c>
      <c r="O163" s="356">
        <f t="shared" si="286"/>
        <v>0</v>
      </c>
      <c r="P163" s="261">
        <f>SUM(P164:P167)</f>
        <v>2144170</v>
      </c>
      <c r="Q163" s="259">
        <f t="shared" ref="Q163:S163" si="287">SUM(Q164:Q167)</f>
        <v>2134170</v>
      </c>
      <c r="R163" s="259">
        <f t="shared" si="287"/>
        <v>10000</v>
      </c>
      <c r="S163" s="356">
        <f t="shared" si="287"/>
        <v>0</v>
      </c>
      <c r="T163" s="261">
        <f>SUM(T164:T167)</f>
        <v>565053.19999999995</v>
      </c>
      <c r="U163" s="259">
        <f t="shared" ref="U163:W163" si="288">SUM(U164:U167)</f>
        <v>559124.6</v>
      </c>
      <c r="V163" s="259">
        <f t="shared" si="288"/>
        <v>5928.6</v>
      </c>
      <c r="W163" s="356">
        <f t="shared" si="288"/>
        <v>0</v>
      </c>
      <c r="X163" s="261">
        <f>SUM(X164:X167)</f>
        <v>-21659</v>
      </c>
      <c r="Y163" s="259">
        <f t="shared" ref="Y163:AA163" si="289">SUM(Y164:Y167)</f>
        <v>-28000</v>
      </c>
      <c r="Z163" s="259">
        <f t="shared" si="289"/>
        <v>6341</v>
      </c>
      <c r="AA163" s="356">
        <f t="shared" si="289"/>
        <v>0</v>
      </c>
      <c r="AB163" s="261">
        <f>SUM(AB164:AB167)</f>
        <v>2122511</v>
      </c>
      <c r="AC163" s="259">
        <f t="shared" ref="AC163:AE163" si="290">SUM(AC164:AC167)</f>
        <v>2106170</v>
      </c>
      <c r="AD163" s="259">
        <f t="shared" si="290"/>
        <v>16341</v>
      </c>
      <c r="AE163" s="356">
        <f t="shared" si="290"/>
        <v>0</v>
      </c>
    </row>
    <row r="164" spans="1:31" ht="15.75" x14ac:dyDescent="0.25">
      <c r="B164" s="273">
        <v>1</v>
      </c>
      <c r="C164" s="274" t="s">
        <v>355</v>
      </c>
      <c r="D164" s="560">
        <f>SUM(E164:G164)</f>
        <v>63120</v>
      </c>
      <c r="E164" s="561">
        <f>'[1]13. Sociálna starostlivosť'!$AF$30</f>
        <v>63120</v>
      </c>
      <c r="F164" s="561">
        <f>'[1]13. Sociálna starostlivosť'!$AG$30</f>
        <v>0</v>
      </c>
      <c r="G164" s="562">
        <f>'[1]13. Sociálna starostlivosť'!$AH$30</f>
        <v>0</v>
      </c>
      <c r="H164" s="560">
        <f>SUM(I164:K164)</f>
        <v>58820</v>
      </c>
      <c r="I164" s="561">
        <f>'[2]13. Sociálna starostlivosť'!$AI$30</f>
        <v>58820</v>
      </c>
      <c r="J164" s="561">
        <f>'[2]13. Sociálna starostlivosť'!$AJ$30</f>
        <v>0</v>
      </c>
      <c r="K164" s="562">
        <f>'[2]13. Sociálna starostlivosť'!$AK$30</f>
        <v>0</v>
      </c>
      <c r="L164" s="261">
        <f>SUM(M164:O164)</f>
        <v>64100</v>
      </c>
      <c r="M164" s="259">
        <f>'[3]13. Sociálna starostlivosť'!$AI$32</f>
        <v>64100</v>
      </c>
      <c r="N164" s="259">
        <f>'[3]13. Sociálna starostlivosť'!$AJ$32</f>
        <v>0</v>
      </c>
      <c r="O164" s="356">
        <f>'[3]13. Sociálna starostlivosť'!$AK$32</f>
        <v>0</v>
      </c>
      <c r="P164" s="261">
        <f>SUM(Q164:S164)</f>
        <v>64100</v>
      </c>
      <c r="Q164" s="259">
        <f>'[4]13. Sociálna starostlivosť'!$AL$32</f>
        <v>64100</v>
      </c>
      <c r="R164" s="259">
        <f>'[4]13. Sociálna starostlivosť'!$AM$32</f>
        <v>0</v>
      </c>
      <c r="S164" s="259">
        <f>'[4]13. Sociálna starostlivosť'!$AN$32</f>
        <v>0</v>
      </c>
      <c r="T164" s="261">
        <f>SUM(U164:W164)</f>
        <v>10420</v>
      </c>
      <c r="U164" s="259">
        <f>'[4]13. Sociálna starostlivosť'!$AO$32</f>
        <v>10420</v>
      </c>
      <c r="V164" s="259">
        <f>'[4]13. Sociálna starostlivosť'!$AP$32</f>
        <v>0</v>
      </c>
      <c r="W164" s="259">
        <f>'[4]13. Sociálna starostlivosť'!$AQ$32</f>
        <v>0</v>
      </c>
      <c r="X164" s="261">
        <f>SUM(Y164:AA164)</f>
        <v>0</v>
      </c>
      <c r="Y164" s="259">
        <f>'[4]13. Sociálna starostlivosť'!$AR$32</f>
        <v>0</v>
      </c>
      <c r="Z164" s="259">
        <f>'[4]13. Sociálna starostlivosť'!$AS$32</f>
        <v>0</v>
      </c>
      <c r="AA164" s="259">
        <f>'[4]13. Sociálna starostlivosť'!$AT$32</f>
        <v>0</v>
      </c>
      <c r="AB164" s="261">
        <f>SUM(AC164:AE164)</f>
        <v>64100</v>
      </c>
      <c r="AC164" s="259">
        <f>'[4]13. Sociálna starostlivosť'!$AU$32</f>
        <v>64100</v>
      </c>
      <c r="AD164" s="259">
        <f>'[4]13. Sociálna starostlivosť'!$AV$32</f>
        <v>0</v>
      </c>
      <c r="AE164" s="260">
        <f>'[4]13. Sociálna starostlivosť'!$AW$32</f>
        <v>0</v>
      </c>
    </row>
    <row r="165" spans="1:31" ht="15.75" x14ac:dyDescent="0.25">
      <c r="B165" s="273">
        <v>2</v>
      </c>
      <c r="C165" s="274" t="s">
        <v>356</v>
      </c>
      <c r="D165" s="560">
        <f>SUM(E165:G165)</f>
        <v>0</v>
      </c>
      <c r="E165" s="561">
        <f>'[1]13. Sociálna starostlivosť'!$AF$33</f>
        <v>0</v>
      </c>
      <c r="F165" s="561">
        <f>'[1]13. Sociálna starostlivosť'!$AG$33</f>
        <v>0</v>
      </c>
      <c r="G165" s="562">
        <f>'[1]13. Sociálna starostlivosť'!$AH$33</f>
        <v>0</v>
      </c>
      <c r="H165" s="560">
        <f>SUM(I165:K165)</f>
        <v>0</v>
      </c>
      <c r="I165" s="561">
        <f>'[2]13. Sociálna starostlivosť'!$AI$33</f>
        <v>0</v>
      </c>
      <c r="J165" s="561">
        <f>'[2]13. Sociálna starostlivosť'!$AJ$33</f>
        <v>0</v>
      </c>
      <c r="K165" s="562">
        <f>'[2]13. Sociálna starostlivosť'!$AK$33</f>
        <v>0</v>
      </c>
      <c r="L165" s="261">
        <f>SUM(M165:O165)</f>
        <v>0</v>
      </c>
      <c r="M165" s="259">
        <f>'[3]13. Sociálna starostlivosť'!$AI$35</f>
        <v>0</v>
      </c>
      <c r="N165" s="259">
        <f>'[3]13. Sociálna starostlivosť'!$AJ$35</f>
        <v>0</v>
      </c>
      <c r="O165" s="356">
        <f>'[3]13. Sociálna starostlivosť'!$AK$35</f>
        <v>0</v>
      </c>
      <c r="P165" s="261">
        <f>SUM(Q165:S165)</f>
        <v>0</v>
      </c>
      <c r="Q165" s="259">
        <f>'[4]13. Sociálna starostlivosť'!$AL$35</f>
        <v>0</v>
      </c>
      <c r="R165" s="259">
        <f>'[4]13. Sociálna starostlivosť'!$AM$35</f>
        <v>0</v>
      </c>
      <c r="S165" s="259">
        <f>'[4]13. Sociálna starostlivosť'!$AN$35</f>
        <v>0</v>
      </c>
      <c r="T165" s="261">
        <f>SUM(U165:W165)</f>
        <v>0</v>
      </c>
      <c r="U165" s="259">
        <f>'[4]13. Sociálna starostlivosť'!$AO$35</f>
        <v>0</v>
      </c>
      <c r="V165" s="259">
        <f>'[4]13. Sociálna starostlivosť'!$AP$35</f>
        <v>0</v>
      </c>
      <c r="W165" s="259">
        <f>'[4]13. Sociálna starostlivosť'!$AQ$35</f>
        <v>0</v>
      </c>
      <c r="X165" s="261">
        <f>SUM(Y165:AA165)</f>
        <v>0</v>
      </c>
      <c r="Y165" s="259">
        <f>'[4]13. Sociálna starostlivosť'!$AR$35</f>
        <v>0</v>
      </c>
      <c r="Z165" s="259">
        <f>'[4]13. Sociálna starostlivosť'!$AS$35</f>
        <v>0</v>
      </c>
      <c r="AA165" s="259">
        <f>'[4]13. Sociálna starostlivosť'!$AT$35</f>
        <v>0</v>
      </c>
      <c r="AB165" s="261">
        <f>SUM(AC165:AE165)</f>
        <v>0</v>
      </c>
      <c r="AC165" s="259">
        <f>'[4]13. Sociálna starostlivosť'!$AU$35</f>
        <v>0</v>
      </c>
      <c r="AD165" s="259">
        <f>'[4]13. Sociálna starostlivosť'!$AV$35</f>
        <v>0</v>
      </c>
      <c r="AE165" s="260">
        <f>'[4]13. Sociálna starostlivosť'!$AW$35</f>
        <v>0</v>
      </c>
    </row>
    <row r="166" spans="1:31" ht="15.75" x14ac:dyDescent="0.25">
      <c r="A166" s="125"/>
      <c r="B166" s="273">
        <v>3</v>
      </c>
      <c r="C166" s="274" t="s">
        <v>443</v>
      </c>
      <c r="D166" s="560">
        <f>SUM(E166:G166)</f>
        <v>1395719.0099999998</v>
      </c>
      <c r="E166" s="561">
        <f>'[1]13. Sociálna starostlivosť'!$AF$35</f>
        <v>1390349.2999999998</v>
      </c>
      <c r="F166" s="561">
        <f>'[1]13. Sociálna starostlivosť'!$AG$35</f>
        <v>5369.71</v>
      </c>
      <c r="G166" s="562">
        <f>'[1]13. Sociálna starostlivosť'!$AH$35</f>
        <v>0</v>
      </c>
      <c r="H166" s="560">
        <f>SUM(I166:K166)</f>
        <v>1568441.01</v>
      </c>
      <c r="I166" s="561">
        <f>'[2]13. Sociálna starostlivosť'!$AI$35</f>
        <v>1568441.01</v>
      </c>
      <c r="J166" s="561">
        <f>'[2]13. Sociálna starostlivosť'!$AJ$35</f>
        <v>0</v>
      </c>
      <c r="K166" s="562">
        <f>'[2]13. Sociálna starostlivosť'!$AK$35</f>
        <v>0</v>
      </c>
      <c r="L166" s="261">
        <f>SUM(M166:O166)</f>
        <v>1725000</v>
      </c>
      <c r="M166" s="259">
        <f>'[3]13. Sociálna starostlivosť'!$AI$37</f>
        <v>1715000</v>
      </c>
      <c r="N166" s="259">
        <f>'[3]13. Sociálna starostlivosť'!$AJ$37</f>
        <v>10000</v>
      </c>
      <c r="O166" s="356">
        <f>'[3]13. Sociálna starostlivosť'!$AK$37</f>
        <v>0</v>
      </c>
      <c r="P166" s="261">
        <f>SUM(Q166:S166)</f>
        <v>1773920</v>
      </c>
      <c r="Q166" s="259">
        <f>'[4]13. Sociálna starostlivosť'!$AL$37</f>
        <v>1763920</v>
      </c>
      <c r="R166" s="259">
        <f>'[4]13. Sociálna starostlivosť'!$AM$37</f>
        <v>10000</v>
      </c>
      <c r="S166" s="259">
        <f>'[4]13. Sociálna starostlivosť'!$AN$37</f>
        <v>0</v>
      </c>
      <c r="T166" s="261">
        <f>SUM(U166:W166)</f>
        <v>488566.87</v>
      </c>
      <c r="U166" s="259">
        <f>'[4]13. Sociálna starostlivosť'!$AO$37</f>
        <v>482638.27</v>
      </c>
      <c r="V166" s="259">
        <f>'[4]13. Sociálna starostlivosť'!$AP$37</f>
        <v>5928.6</v>
      </c>
      <c r="W166" s="259">
        <f>'[4]13. Sociálna starostlivosť'!$AQ$37</f>
        <v>0</v>
      </c>
      <c r="X166" s="261">
        <f>SUM(Y166:AA166)</f>
        <v>-21659</v>
      </c>
      <c r="Y166" s="259">
        <f>'[4]13. Sociálna starostlivosť'!$AR$37</f>
        <v>-28000</v>
      </c>
      <c r="Z166" s="259">
        <f>'[4]13. Sociálna starostlivosť'!$AS$37</f>
        <v>6341</v>
      </c>
      <c r="AA166" s="259">
        <f>'[4]13. Sociálna starostlivosť'!$AT$37</f>
        <v>0</v>
      </c>
      <c r="AB166" s="261">
        <f>SUM(AC166:AE166)</f>
        <v>1752261</v>
      </c>
      <c r="AC166" s="259">
        <f>'[4]13. Sociálna starostlivosť'!$AU$37</f>
        <v>1735920</v>
      </c>
      <c r="AD166" s="259">
        <f>'[4]13. Sociálna starostlivosť'!$AV$37</f>
        <v>16341</v>
      </c>
      <c r="AE166" s="260">
        <f>'[4]13. Sociálna starostlivosť'!$AW$37</f>
        <v>0</v>
      </c>
    </row>
    <row r="167" spans="1:31" ht="15.75" x14ac:dyDescent="0.25">
      <c r="A167" s="125"/>
      <c r="B167" s="273">
        <v>4</v>
      </c>
      <c r="C167" s="274" t="s">
        <v>444</v>
      </c>
      <c r="D167" s="560">
        <f>SUM(E167:G167)</f>
        <v>246440</v>
      </c>
      <c r="E167" s="561">
        <f>'[1]13. Sociálna starostlivosť'!$AF$50</f>
        <v>246440</v>
      </c>
      <c r="F167" s="561">
        <f>'[1]13. Sociálna starostlivosť'!$AG$50</f>
        <v>0</v>
      </c>
      <c r="G167" s="562">
        <f>'[1]13. Sociálna starostlivosť'!$AH$50</f>
        <v>0</v>
      </c>
      <c r="H167" s="560">
        <f>SUM(I167:K167)</f>
        <v>229855.49</v>
      </c>
      <c r="I167" s="561">
        <f>'[2]13. Sociálna starostlivosť'!$AI$50</f>
        <v>229855.49</v>
      </c>
      <c r="J167" s="561">
        <f>'[2]13. Sociálna starostlivosť'!$AJ$50</f>
        <v>0</v>
      </c>
      <c r="K167" s="562">
        <f>'[2]13. Sociálna starostlivosť'!$AK$50</f>
        <v>0</v>
      </c>
      <c r="L167" s="261">
        <f>SUM(M167:O167)</f>
        <v>306150</v>
      </c>
      <c r="M167" s="259">
        <f>'[3]13. Sociálna starostlivosť'!$AI$52</f>
        <v>306150</v>
      </c>
      <c r="N167" s="259">
        <f>'[3]13. Sociálna starostlivosť'!$AJ$52</f>
        <v>0</v>
      </c>
      <c r="O167" s="356">
        <f>'[3]13. Sociálna starostlivosť'!$AK$52</f>
        <v>0</v>
      </c>
      <c r="P167" s="261">
        <f>SUM(Q167:S167)</f>
        <v>306150</v>
      </c>
      <c r="Q167" s="259">
        <f>'[4]13. Sociálna starostlivosť'!$AL$52</f>
        <v>306150</v>
      </c>
      <c r="R167" s="259">
        <f>'[4]13. Sociálna starostlivosť'!$AM$52</f>
        <v>0</v>
      </c>
      <c r="S167" s="259">
        <f>'[4]13. Sociálna starostlivosť'!$AN$52</f>
        <v>0</v>
      </c>
      <c r="T167" s="261">
        <f>SUM(U167:W167)</f>
        <v>66066.33</v>
      </c>
      <c r="U167" s="259">
        <f>'[4]13. Sociálna starostlivosť'!$AO$52</f>
        <v>66066.33</v>
      </c>
      <c r="V167" s="259">
        <f>'[4]13. Sociálna starostlivosť'!$AP$52</f>
        <v>0</v>
      </c>
      <c r="W167" s="259">
        <f>'[4]13. Sociálna starostlivosť'!$AQ$52</f>
        <v>0</v>
      </c>
      <c r="X167" s="261">
        <f>SUM(Y167:AA167)</f>
        <v>0</v>
      </c>
      <c r="Y167" s="259">
        <f>'[4]13. Sociálna starostlivosť'!$AR$52</f>
        <v>0</v>
      </c>
      <c r="Z167" s="259">
        <f>'[4]13. Sociálna starostlivosť'!$AS$52</f>
        <v>0</v>
      </c>
      <c r="AA167" s="259">
        <f>'[4]13. Sociálna starostlivosť'!$AT$52</f>
        <v>0</v>
      </c>
      <c r="AB167" s="261">
        <f>SUM(AC167:AE167)</f>
        <v>306150</v>
      </c>
      <c r="AC167" s="259">
        <f>'[4]13. Sociálna starostlivosť'!$AU$52</f>
        <v>306150</v>
      </c>
      <c r="AD167" s="259">
        <f>'[4]13. Sociálna starostlivosť'!$AV$52</f>
        <v>0</v>
      </c>
      <c r="AE167" s="260">
        <f>'[4]13. Sociálna starostlivosť'!$AW$52</f>
        <v>0</v>
      </c>
    </row>
    <row r="168" spans="1:31" ht="15.75" x14ac:dyDescent="0.25">
      <c r="B168" s="285" t="s">
        <v>358</v>
      </c>
      <c r="C168" s="274" t="s">
        <v>359</v>
      </c>
      <c r="D168" s="560">
        <f t="shared" ref="D168:G168" si="291">SUM(D169:D171)</f>
        <v>120560</v>
      </c>
      <c r="E168" s="561">
        <f t="shared" si="291"/>
        <v>120560</v>
      </c>
      <c r="F168" s="561">
        <f t="shared" si="291"/>
        <v>0</v>
      </c>
      <c r="G168" s="562">
        <f t="shared" si="291"/>
        <v>0</v>
      </c>
      <c r="H168" s="560">
        <f t="shared" ref="H168:K168" si="292">SUM(H169:H171)</f>
        <v>126900</v>
      </c>
      <c r="I168" s="561">
        <f t="shared" si="292"/>
        <v>126900</v>
      </c>
      <c r="J168" s="561">
        <f t="shared" si="292"/>
        <v>0</v>
      </c>
      <c r="K168" s="562">
        <f t="shared" si="292"/>
        <v>0</v>
      </c>
      <c r="L168" s="261">
        <f t="shared" ref="L168:S168" si="293">SUM(L169:L171)</f>
        <v>140200</v>
      </c>
      <c r="M168" s="259">
        <f t="shared" si="293"/>
        <v>140200</v>
      </c>
      <c r="N168" s="259">
        <f t="shared" si="293"/>
        <v>0</v>
      </c>
      <c r="O168" s="356">
        <f t="shared" si="293"/>
        <v>0</v>
      </c>
      <c r="P168" s="261">
        <f t="shared" si="293"/>
        <v>140200</v>
      </c>
      <c r="Q168" s="259">
        <f t="shared" si="293"/>
        <v>140200</v>
      </c>
      <c r="R168" s="259">
        <f t="shared" si="293"/>
        <v>0</v>
      </c>
      <c r="S168" s="356">
        <f t="shared" si="293"/>
        <v>0</v>
      </c>
      <c r="T168" s="261">
        <f t="shared" ref="T168:W168" si="294">SUM(T169:T171)</f>
        <v>33905.29</v>
      </c>
      <c r="U168" s="259">
        <f t="shared" si="294"/>
        <v>33905.29</v>
      </c>
      <c r="V168" s="259">
        <f t="shared" si="294"/>
        <v>0</v>
      </c>
      <c r="W168" s="356">
        <f t="shared" si="294"/>
        <v>0</v>
      </c>
      <c r="X168" s="261">
        <f t="shared" ref="X168:AE168" si="295">SUM(X169:X171)</f>
        <v>0</v>
      </c>
      <c r="Y168" s="259">
        <f t="shared" si="295"/>
        <v>0</v>
      </c>
      <c r="Z168" s="259">
        <f t="shared" si="295"/>
        <v>0</v>
      </c>
      <c r="AA168" s="356">
        <f t="shared" si="295"/>
        <v>0</v>
      </c>
      <c r="AB168" s="261">
        <f t="shared" si="295"/>
        <v>140200</v>
      </c>
      <c r="AC168" s="259">
        <f t="shared" si="295"/>
        <v>140200</v>
      </c>
      <c r="AD168" s="259">
        <f t="shared" si="295"/>
        <v>0</v>
      </c>
      <c r="AE168" s="356">
        <f t="shared" si="295"/>
        <v>0</v>
      </c>
    </row>
    <row r="169" spans="1:31" ht="15.75" x14ac:dyDescent="0.25">
      <c r="B169" s="273">
        <v>1</v>
      </c>
      <c r="C169" s="274" t="s">
        <v>360</v>
      </c>
      <c r="D169" s="560">
        <f>SUM(E169:G169)</f>
        <v>46770</v>
      </c>
      <c r="E169" s="561">
        <f>'[1]13. Sociálna starostlivosť'!$AF$55</f>
        <v>46770</v>
      </c>
      <c r="F169" s="561">
        <f>'[1]13. Sociálna starostlivosť'!$AG$55</f>
        <v>0</v>
      </c>
      <c r="G169" s="562">
        <f>'[1]13. Sociálna starostlivosť'!$AH$55</f>
        <v>0</v>
      </c>
      <c r="H169" s="560">
        <f>SUM(I169:K169)</f>
        <v>45000</v>
      </c>
      <c r="I169" s="561">
        <f>'[2]13. Sociálna starostlivosť'!$AI$55</f>
        <v>45000</v>
      </c>
      <c r="J169" s="561">
        <f>'[2]13. Sociálna starostlivosť'!$AJ$55</f>
        <v>0</v>
      </c>
      <c r="K169" s="562">
        <f>'[2]13. Sociálna starostlivosť'!$AK$55</f>
        <v>0</v>
      </c>
      <c r="L169" s="261">
        <f>SUM(M169:O169)</f>
        <v>49500</v>
      </c>
      <c r="M169" s="259">
        <f>'[3]13. Sociálna starostlivosť'!$AI$57</f>
        <v>49500</v>
      </c>
      <c r="N169" s="259">
        <f>'[3]13. Sociálna starostlivosť'!$AJ$57</f>
        <v>0</v>
      </c>
      <c r="O169" s="356">
        <f>'[3]13. Sociálna starostlivosť'!$AK$57</f>
        <v>0</v>
      </c>
      <c r="P169" s="261">
        <f>SUM(Q169:S169)</f>
        <v>49500</v>
      </c>
      <c r="Q169" s="259">
        <f>'[4]13. Sociálna starostlivosť'!$AL$57</f>
        <v>49500</v>
      </c>
      <c r="R169" s="259">
        <f>'[4]13. Sociálna starostlivosť'!$AM$57</f>
        <v>0</v>
      </c>
      <c r="S169" s="259">
        <f>'[4]13. Sociálna starostlivosť'!$AN$57</f>
        <v>0</v>
      </c>
      <c r="T169" s="261">
        <f>SUM(U169:W169)</f>
        <v>12172.33</v>
      </c>
      <c r="U169" s="259">
        <f>'[4]13. Sociálna starostlivosť'!$AO$57</f>
        <v>12172.33</v>
      </c>
      <c r="V169" s="259">
        <f>'[4]13. Sociálna starostlivosť'!$AP$57</f>
        <v>0</v>
      </c>
      <c r="W169" s="259">
        <f>'[4]13. Sociálna starostlivosť'!$AQ$57</f>
        <v>0</v>
      </c>
      <c r="X169" s="261">
        <f>SUM(Y169:AA169)</f>
        <v>0</v>
      </c>
      <c r="Y169" s="259">
        <f>'[4]13. Sociálna starostlivosť'!$AR$57</f>
        <v>0</v>
      </c>
      <c r="Z169" s="259">
        <f>'[4]13. Sociálna starostlivosť'!$AS$57</f>
        <v>0</v>
      </c>
      <c r="AA169" s="259">
        <f>'[4]13. Sociálna starostlivosť'!$AT$57</f>
        <v>0</v>
      </c>
      <c r="AB169" s="261">
        <f>SUM(AC169:AE169)</f>
        <v>49500</v>
      </c>
      <c r="AC169" s="259">
        <f>'[4]13. Sociálna starostlivosť'!$AU$57</f>
        <v>49500</v>
      </c>
      <c r="AD169" s="259">
        <f>'[4]13. Sociálna starostlivosť'!$AV$57</f>
        <v>0</v>
      </c>
      <c r="AE169" s="260">
        <f>'[4]13. Sociálna starostlivosť'!$AW$57</f>
        <v>0</v>
      </c>
    </row>
    <row r="170" spans="1:31" ht="15.75" x14ac:dyDescent="0.25">
      <c r="B170" s="273">
        <v>2</v>
      </c>
      <c r="C170" s="274" t="s">
        <v>612</v>
      </c>
      <c r="D170" s="560">
        <f>SUM(E170:G170)</f>
        <v>2210</v>
      </c>
      <c r="E170" s="561">
        <f>'[1]13. Sociálna starostlivosť'!$AF$59</f>
        <v>2210</v>
      </c>
      <c r="F170" s="561">
        <f>'[1]13. Sociálna starostlivosť'!$AG$59</f>
        <v>0</v>
      </c>
      <c r="G170" s="562">
        <f>'[1]13. Sociálna starostlivosť'!$AH$59</f>
        <v>0</v>
      </c>
      <c r="H170" s="560">
        <f>SUM(I170:K170)</f>
        <v>5400</v>
      </c>
      <c r="I170" s="561">
        <f>'[2]13. Sociálna starostlivosť'!$AI$59</f>
        <v>5400</v>
      </c>
      <c r="J170" s="561">
        <f>'[2]13. Sociálna starostlivosť'!$AJ$59</f>
        <v>0</v>
      </c>
      <c r="K170" s="562">
        <f>'[2]13. Sociálna starostlivosť'!$AK$59</f>
        <v>0</v>
      </c>
      <c r="L170" s="261">
        <f>SUM(M170:O170)</f>
        <v>6550</v>
      </c>
      <c r="M170" s="259">
        <f>'[3]13. Sociálna starostlivosť'!$AI$61</f>
        <v>6550</v>
      </c>
      <c r="N170" s="259">
        <f>'[3]13. Sociálna starostlivosť'!$AJ$61</f>
        <v>0</v>
      </c>
      <c r="O170" s="356">
        <f>'[3]13. Sociálna starostlivosť'!$AK$61</f>
        <v>0</v>
      </c>
      <c r="P170" s="261">
        <f>SUM(Q170:S170)</f>
        <v>6550</v>
      </c>
      <c r="Q170" s="259">
        <f>'[4]13. Sociálna starostlivosť'!$AL$61</f>
        <v>6550</v>
      </c>
      <c r="R170" s="259">
        <f>'[4]13. Sociálna starostlivosť'!$AM$61</f>
        <v>0</v>
      </c>
      <c r="S170" s="259">
        <f>'[4]13. Sociálna starostlivosť'!$AN$61</f>
        <v>0</v>
      </c>
      <c r="T170" s="261">
        <f>SUM(U170:W170)</f>
        <v>1060</v>
      </c>
      <c r="U170" s="259">
        <f>'[4]13. Sociálna starostlivosť'!$AO$61</f>
        <v>1060</v>
      </c>
      <c r="V170" s="259">
        <f>'[4]13. Sociálna starostlivosť'!$AP$61</f>
        <v>0</v>
      </c>
      <c r="W170" s="259">
        <f>'[4]13. Sociálna starostlivosť'!$AQ$61</f>
        <v>0</v>
      </c>
      <c r="X170" s="261">
        <f>SUM(Y170:AA170)</f>
        <v>0</v>
      </c>
      <c r="Y170" s="259">
        <f>'[4]13. Sociálna starostlivosť'!$AR$61</f>
        <v>0</v>
      </c>
      <c r="Z170" s="259">
        <f>'[4]13. Sociálna starostlivosť'!$AS$61</f>
        <v>0</v>
      </c>
      <c r="AA170" s="259">
        <f>'[4]13. Sociálna starostlivosť'!$AT$61</f>
        <v>0</v>
      </c>
      <c r="AB170" s="261">
        <f>SUM(AC170:AE170)</f>
        <v>6550</v>
      </c>
      <c r="AC170" s="259">
        <f>'[4]13. Sociálna starostlivosť'!$AU$61</f>
        <v>6550</v>
      </c>
      <c r="AD170" s="259">
        <f>'[4]13. Sociálna starostlivosť'!$AV$61</f>
        <v>0</v>
      </c>
      <c r="AE170" s="260">
        <f>'[4]13. Sociálna starostlivosť'!$AW$61</f>
        <v>0</v>
      </c>
    </row>
    <row r="171" spans="1:31" ht="15.75" x14ac:dyDescent="0.25">
      <c r="B171" s="273">
        <v>3</v>
      </c>
      <c r="C171" s="274" t="s">
        <v>362</v>
      </c>
      <c r="D171" s="560">
        <f>SUM(E171:G171)</f>
        <v>71580</v>
      </c>
      <c r="E171" s="561">
        <f>'[1]13. Sociálna starostlivosť'!$AF$62</f>
        <v>71580</v>
      </c>
      <c r="F171" s="561">
        <f>'[1]13. Sociálna starostlivosť'!$AG$62</f>
        <v>0</v>
      </c>
      <c r="G171" s="562">
        <f>'[1]13. Sociálna starostlivosť'!$AH$62</f>
        <v>0</v>
      </c>
      <c r="H171" s="560">
        <f>SUM(I171:K171)</f>
        <v>76500</v>
      </c>
      <c r="I171" s="561">
        <f>'[2]13. Sociálna starostlivosť'!$AI$62</f>
        <v>76500</v>
      </c>
      <c r="J171" s="561">
        <f>'[2]13. Sociálna starostlivosť'!$AJ$62</f>
        <v>0</v>
      </c>
      <c r="K171" s="562">
        <f>'[2]13. Sociálna starostlivosť'!$AK$62</f>
        <v>0</v>
      </c>
      <c r="L171" s="261">
        <f>SUM(M171:O171)</f>
        <v>84150</v>
      </c>
      <c r="M171" s="259">
        <f>'[3]13. Sociálna starostlivosť'!$AI$64</f>
        <v>84150</v>
      </c>
      <c r="N171" s="259">
        <f>'[3]13. Sociálna starostlivosť'!$AJ$64</f>
        <v>0</v>
      </c>
      <c r="O171" s="356">
        <f>'[3]13. Sociálna starostlivosť'!$AK$64</f>
        <v>0</v>
      </c>
      <c r="P171" s="261">
        <f>SUM(Q171:S171)</f>
        <v>84150</v>
      </c>
      <c r="Q171" s="259">
        <f>'[4]13. Sociálna starostlivosť'!$AL$64</f>
        <v>84150</v>
      </c>
      <c r="R171" s="259">
        <f>'[4]13. Sociálna starostlivosť'!$AM$64</f>
        <v>0</v>
      </c>
      <c r="S171" s="259">
        <f>'[4]13. Sociálna starostlivosť'!$AN$64</f>
        <v>0</v>
      </c>
      <c r="T171" s="261">
        <f>SUM(U171:W171)</f>
        <v>20672.96</v>
      </c>
      <c r="U171" s="259">
        <f>'[4]13. Sociálna starostlivosť'!$AO$64</f>
        <v>20672.96</v>
      </c>
      <c r="V171" s="259">
        <f>'[4]13. Sociálna starostlivosť'!$AP$64</f>
        <v>0</v>
      </c>
      <c r="W171" s="259">
        <f>'[4]13. Sociálna starostlivosť'!$AQ$64</f>
        <v>0</v>
      </c>
      <c r="X171" s="261">
        <f>SUM(Y171:AA171)</f>
        <v>0</v>
      </c>
      <c r="Y171" s="259">
        <f>'[4]13. Sociálna starostlivosť'!$AR$64</f>
        <v>0</v>
      </c>
      <c r="Z171" s="259">
        <f>'[4]13. Sociálna starostlivosť'!$AS$64</f>
        <v>0</v>
      </c>
      <c r="AA171" s="259">
        <f>'[4]13. Sociálna starostlivosť'!$AT$64</f>
        <v>0</v>
      </c>
      <c r="AB171" s="261">
        <f>SUM(AC171:AE171)</f>
        <v>84150</v>
      </c>
      <c r="AC171" s="259">
        <f>'[4]13. Sociálna starostlivosť'!$AU$64</f>
        <v>84150</v>
      </c>
      <c r="AD171" s="259">
        <f>'[4]13. Sociálna starostlivosť'!$AV$64</f>
        <v>0</v>
      </c>
      <c r="AE171" s="260">
        <f>'[4]13. Sociálna starostlivosť'!$AW$64</f>
        <v>0</v>
      </c>
    </row>
    <row r="172" spans="1:31" ht="15.75" x14ac:dyDescent="0.25">
      <c r="B172" s="285" t="s">
        <v>363</v>
      </c>
      <c r="C172" s="274" t="s">
        <v>364</v>
      </c>
      <c r="D172" s="560">
        <f>SUM(E172:G172)</f>
        <v>7970</v>
      </c>
      <c r="E172" s="561">
        <f>'[1]13. Sociálna starostlivosť'!$AF$65</f>
        <v>7970</v>
      </c>
      <c r="F172" s="561">
        <f>'[1]13. Sociálna starostlivosť'!$AG$65</f>
        <v>0</v>
      </c>
      <c r="G172" s="562">
        <f>'[1]13. Sociálna starostlivosť'!$AH$65</f>
        <v>0</v>
      </c>
      <c r="H172" s="560">
        <f>SUM(I172:K172)</f>
        <v>8120</v>
      </c>
      <c r="I172" s="561">
        <f>'[2]13. Sociálna starostlivosť'!$AI$65</f>
        <v>8120</v>
      </c>
      <c r="J172" s="561">
        <f>'[2]13. Sociálna starostlivosť'!$AJ$65</f>
        <v>0</v>
      </c>
      <c r="K172" s="562">
        <f>'[2]13. Sociálna starostlivosť'!$AK$65</f>
        <v>0</v>
      </c>
      <c r="L172" s="261">
        <f>SUM(M172:O172)</f>
        <v>8950</v>
      </c>
      <c r="M172" s="259">
        <f>'[3]13. Sociálna starostlivosť'!$AI$67</f>
        <v>8950</v>
      </c>
      <c r="N172" s="259">
        <f>'[3]13. Sociálna starostlivosť'!$AJ$67</f>
        <v>0</v>
      </c>
      <c r="O172" s="356">
        <f>'[3]13. Sociálna starostlivosť'!$AK$67</f>
        <v>0</v>
      </c>
      <c r="P172" s="261">
        <f>SUM(Q172:S172)</f>
        <v>8950</v>
      </c>
      <c r="Q172" s="259">
        <f>'[4]13. Sociálna starostlivosť'!$AL$67</f>
        <v>8950</v>
      </c>
      <c r="R172" s="259">
        <f>'[4]13. Sociálna starostlivosť'!$AM$67</f>
        <v>0</v>
      </c>
      <c r="S172" s="259">
        <f>'[4]13. Sociálna starostlivosť'!$AN$67</f>
        <v>0</v>
      </c>
      <c r="T172" s="261">
        <f>SUM(U172:W172)</f>
        <v>1460</v>
      </c>
      <c r="U172" s="259">
        <f>'[4]13. Sociálna starostlivosť'!$AO$67</f>
        <v>1460</v>
      </c>
      <c r="V172" s="259">
        <f>'[4]13. Sociálna starostlivosť'!$AP$67</f>
        <v>0</v>
      </c>
      <c r="W172" s="259">
        <f>'[4]13. Sociálna starostlivosť'!$AQ$67</f>
        <v>0</v>
      </c>
      <c r="X172" s="261">
        <f>SUM(Y172:AA172)</f>
        <v>0</v>
      </c>
      <c r="Y172" s="259">
        <f>'[4]13. Sociálna starostlivosť'!$AR$67</f>
        <v>0</v>
      </c>
      <c r="Z172" s="259">
        <f>'[4]13. Sociálna starostlivosť'!$AS$67</f>
        <v>0</v>
      </c>
      <c r="AA172" s="259">
        <f>'[4]13. Sociálna starostlivosť'!$AT$67</f>
        <v>0</v>
      </c>
      <c r="AB172" s="261">
        <f>SUM(AC172:AE172)</f>
        <v>8950</v>
      </c>
      <c r="AC172" s="259">
        <f>'[4]13. Sociálna starostlivosť'!$AU$67</f>
        <v>8950</v>
      </c>
      <c r="AD172" s="259">
        <f>'[4]13. Sociálna starostlivosť'!$AV$67</f>
        <v>0</v>
      </c>
      <c r="AE172" s="260">
        <f>'[4]13. Sociálna starostlivosť'!$AW$67</f>
        <v>0</v>
      </c>
    </row>
    <row r="173" spans="1:31" ht="15.75" x14ac:dyDescent="0.25">
      <c r="A173" s="124"/>
      <c r="B173" s="285" t="s">
        <v>365</v>
      </c>
      <c r="C173" s="274" t="s">
        <v>366</v>
      </c>
      <c r="D173" s="560">
        <f>SUM(E173:G173)</f>
        <v>233.15</v>
      </c>
      <c r="E173" s="561">
        <f>'[1]13. Sociálna starostlivosť'!$AF$67</f>
        <v>233.15</v>
      </c>
      <c r="F173" s="561">
        <f>'[1]13. Sociálna starostlivosť'!$AG$67</f>
        <v>0</v>
      </c>
      <c r="G173" s="562">
        <f>'[1]13. Sociálna starostlivosť'!$AH$67</f>
        <v>0</v>
      </c>
      <c r="H173" s="560">
        <f>SUM(I173:K173)</f>
        <v>73.95</v>
      </c>
      <c r="I173" s="561">
        <f>'[2]13. Sociálna starostlivosť'!$AI$67</f>
        <v>73.95</v>
      </c>
      <c r="J173" s="561">
        <f>'[2]13. Sociálna starostlivosť'!$AJ$67</f>
        <v>0</v>
      </c>
      <c r="K173" s="562">
        <f>'[2]13. Sociálna starostlivosť'!$AK$67</f>
        <v>0</v>
      </c>
      <c r="L173" s="261">
        <f>SUM(M173:O173)</f>
        <v>1000</v>
      </c>
      <c r="M173" s="259">
        <f>'[3]13. Sociálna starostlivosť'!$AI$69</f>
        <v>1000</v>
      </c>
      <c r="N173" s="259">
        <f>'[3]13. Sociálna starostlivosť'!$AJ$69</f>
        <v>0</v>
      </c>
      <c r="O173" s="356">
        <f>'[3]13. Sociálna starostlivosť'!$AK$69</f>
        <v>0</v>
      </c>
      <c r="P173" s="261">
        <f>SUM(Q173:S173)</f>
        <v>1000</v>
      </c>
      <c r="Q173" s="259">
        <f>'[4]13. Sociálna starostlivosť'!$AL$69</f>
        <v>1000</v>
      </c>
      <c r="R173" s="259">
        <f>'[4]13. Sociálna starostlivosť'!$AM$69</f>
        <v>0</v>
      </c>
      <c r="S173" s="259">
        <f>'[4]13. Sociálna starostlivosť'!$AN$69</f>
        <v>0</v>
      </c>
      <c r="T173" s="261">
        <f>SUM(U173:W173)</f>
        <v>0</v>
      </c>
      <c r="U173" s="259">
        <f>'[4]13. Sociálna starostlivosť'!$AO$69</f>
        <v>0</v>
      </c>
      <c r="V173" s="259">
        <f>'[4]13. Sociálna starostlivosť'!$AP$69</f>
        <v>0</v>
      </c>
      <c r="W173" s="259">
        <f>'[4]13. Sociálna starostlivosť'!$AQ$69</f>
        <v>0</v>
      </c>
      <c r="X173" s="261">
        <f>SUM(Y173:AA173)</f>
        <v>0</v>
      </c>
      <c r="Y173" s="259">
        <f>'[4]13. Sociálna starostlivosť'!$AR$69</f>
        <v>0</v>
      </c>
      <c r="Z173" s="259">
        <f>'[4]13. Sociálna starostlivosť'!$AS$69</f>
        <v>0</v>
      </c>
      <c r="AA173" s="259">
        <f>'[4]13. Sociálna starostlivosť'!$AT$69</f>
        <v>0</v>
      </c>
      <c r="AB173" s="261">
        <f>SUM(AC173:AE173)</f>
        <v>1000</v>
      </c>
      <c r="AC173" s="259">
        <f>'[4]13. Sociálna starostlivosť'!$AU$69</f>
        <v>1000</v>
      </c>
      <c r="AD173" s="259">
        <f>'[4]13. Sociálna starostlivosť'!$AV$69</f>
        <v>0</v>
      </c>
      <c r="AE173" s="260">
        <f>'[4]13. Sociálna starostlivosť'!$AW$69</f>
        <v>0</v>
      </c>
    </row>
    <row r="174" spans="1:31" ht="15.75" x14ac:dyDescent="0.25">
      <c r="B174" s="296" t="s">
        <v>367</v>
      </c>
      <c r="C174" s="290" t="s">
        <v>368</v>
      </c>
      <c r="D174" s="560">
        <f t="shared" ref="D174:AE174" si="296">SUM(D175)</f>
        <v>42884.000000000007</v>
      </c>
      <c r="E174" s="561">
        <f t="shared" si="296"/>
        <v>42884.000000000007</v>
      </c>
      <c r="F174" s="561">
        <f t="shared" si="296"/>
        <v>0</v>
      </c>
      <c r="G174" s="562">
        <f t="shared" si="296"/>
        <v>0</v>
      </c>
      <c r="H174" s="560">
        <f t="shared" si="296"/>
        <v>45253.62</v>
      </c>
      <c r="I174" s="561">
        <f t="shared" si="296"/>
        <v>45253.62</v>
      </c>
      <c r="J174" s="561">
        <f t="shared" si="296"/>
        <v>0</v>
      </c>
      <c r="K174" s="562">
        <f t="shared" si="296"/>
        <v>0</v>
      </c>
      <c r="L174" s="261">
        <f t="shared" si="296"/>
        <v>51630</v>
      </c>
      <c r="M174" s="259">
        <f t="shared" si="296"/>
        <v>51630</v>
      </c>
      <c r="N174" s="259">
        <f t="shared" si="296"/>
        <v>0</v>
      </c>
      <c r="O174" s="356">
        <f t="shared" si="296"/>
        <v>0</v>
      </c>
      <c r="P174" s="261">
        <f t="shared" si="296"/>
        <v>51630</v>
      </c>
      <c r="Q174" s="259">
        <f t="shared" si="296"/>
        <v>51630</v>
      </c>
      <c r="R174" s="259">
        <f t="shared" si="296"/>
        <v>0</v>
      </c>
      <c r="S174" s="356">
        <f t="shared" si="296"/>
        <v>0</v>
      </c>
      <c r="T174" s="261">
        <f t="shared" si="296"/>
        <v>870.05</v>
      </c>
      <c r="U174" s="259">
        <f t="shared" si="296"/>
        <v>870.05</v>
      </c>
      <c r="V174" s="259">
        <f t="shared" si="296"/>
        <v>0</v>
      </c>
      <c r="W174" s="356">
        <f t="shared" si="296"/>
        <v>0</v>
      </c>
      <c r="X174" s="261">
        <f t="shared" si="296"/>
        <v>0</v>
      </c>
      <c r="Y174" s="259">
        <f t="shared" si="296"/>
        <v>0</v>
      </c>
      <c r="Z174" s="259">
        <f t="shared" si="296"/>
        <v>0</v>
      </c>
      <c r="AA174" s="356">
        <f t="shared" si="296"/>
        <v>0</v>
      </c>
      <c r="AB174" s="261">
        <f t="shared" si="296"/>
        <v>51630</v>
      </c>
      <c r="AC174" s="259">
        <f t="shared" si="296"/>
        <v>51630</v>
      </c>
      <c r="AD174" s="259">
        <f t="shared" si="296"/>
        <v>0</v>
      </c>
      <c r="AE174" s="356">
        <f t="shared" si="296"/>
        <v>0</v>
      </c>
    </row>
    <row r="175" spans="1:31" ht="15.75" x14ac:dyDescent="0.25">
      <c r="B175" s="297">
        <v>1</v>
      </c>
      <c r="C175" s="298" t="s">
        <v>369</v>
      </c>
      <c r="D175" s="560">
        <f>SUM(E175:G175)</f>
        <v>42884.000000000007</v>
      </c>
      <c r="E175" s="561">
        <f>'[1]13. Sociálna starostlivosť'!$AF$79</f>
        <v>42884.000000000007</v>
      </c>
      <c r="F175" s="561">
        <f>'[1]13. Sociálna starostlivosť'!$AG$79</f>
        <v>0</v>
      </c>
      <c r="G175" s="562">
        <f>'[1]13. Sociálna starostlivosť'!$AH$79</f>
        <v>0</v>
      </c>
      <c r="H175" s="560">
        <f>SUM(I175:K175)</f>
        <v>45253.62</v>
      </c>
      <c r="I175" s="561">
        <f>'[2]13. Sociálna starostlivosť'!$AI$79</f>
        <v>45253.62</v>
      </c>
      <c r="J175" s="561">
        <f>'[2]13. Sociálna starostlivosť'!$AJ$79</f>
        <v>0</v>
      </c>
      <c r="K175" s="562">
        <f>'[2]13. Sociálna starostlivosť'!$AK$79</f>
        <v>0</v>
      </c>
      <c r="L175" s="261">
        <f>SUM(M175:O175)</f>
        <v>51630</v>
      </c>
      <c r="M175" s="259">
        <f>'[3]13. Sociálna starostlivosť'!$AI$81</f>
        <v>51630</v>
      </c>
      <c r="N175" s="259">
        <f>'[3]13. Sociálna starostlivosť'!$AJ$81</f>
        <v>0</v>
      </c>
      <c r="O175" s="356">
        <f>'[3]13. Sociálna starostlivosť'!$AK$81</f>
        <v>0</v>
      </c>
      <c r="P175" s="261">
        <f>SUM(Q175:S175)</f>
        <v>51630</v>
      </c>
      <c r="Q175" s="259">
        <f>'[4]13. Sociálna starostlivosť'!$AL$81</f>
        <v>51630</v>
      </c>
      <c r="R175" s="259">
        <f>'[4]13. Sociálna starostlivosť'!$AM$81</f>
        <v>0</v>
      </c>
      <c r="S175" s="259">
        <f>'[4]13. Sociálna starostlivosť'!$AN$81</f>
        <v>0</v>
      </c>
      <c r="T175" s="261">
        <f>SUM(U175:W175)</f>
        <v>870.05</v>
      </c>
      <c r="U175" s="259">
        <f>'[4]13. Sociálna starostlivosť'!$AO$81</f>
        <v>870.05</v>
      </c>
      <c r="V175" s="259">
        <f>'[4]13. Sociálna starostlivosť'!$AP$81</f>
        <v>0</v>
      </c>
      <c r="W175" s="259">
        <f>'[4]13. Sociálna starostlivosť'!$AQ$81</f>
        <v>0</v>
      </c>
      <c r="X175" s="261">
        <f>SUM(Y175:AA175)</f>
        <v>0</v>
      </c>
      <c r="Y175" s="259">
        <f>'[4]13. Sociálna starostlivosť'!$AR$81</f>
        <v>0</v>
      </c>
      <c r="Z175" s="259">
        <f>'[4]13. Sociálna starostlivosť'!$AS$81</f>
        <v>0</v>
      </c>
      <c r="AA175" s="259">
        <f>'[4]13. Sociálna starostlivosť'!$AT$81</f>
        <v>0</v>
      </c>
      <c r="AB175" s="261">
        <f>SUM(AC175:AE175)</f>
        <v>51630</v>
      </c>
      <c r="AC175" s="259">
        <f>'[4]13. Sociálna starostlivosť'!$AU$81</f>
        <v>51630</v>
      </c>
      <c r="AD175" s="259">
        <f>'[4]13. Sociálna starostlivosť'!$AV$81</f>
        <v>0</v>
      </c>
      <c r="AE175" s="260">
        <f>'[4]13. Sociálna starostlivosť'!$AW$81</f>
        <v>0</v>
      </c>
    </row>
    <row r="176" spans="1:31" ht="15.75" x14ac:dyDescent="0.25">
      <c r="A176" s="124"/>
      <c r="B176" s="299" t="s">
        <v>370</v>
      </c>
      <c r="C176" s="298" t="s">
        <v>371</v>
      </c>
      <c r="D176" s="560">
        <f>SUM(E176:G176)</f>
        <v>16213.8</v>
      </c>
      <c r="E176" s="561">
        <f>'[1]13. Sociálna starostlivosť'!$AF$104</f>
        <v>16213.8</v>
      </c>
      <c r="F176" s="561">
        <f>'[1]13. Sociálna starostlivosť'!$AG$104</f>
        <v>0</v>
      </c>
      <c r="G176" s="562">
        <f>'[1]13. Sociálna starostlivosť'!$AH$104</f>
        <v>0</v>
      </c>
      <c r="H176" s="560">
        <f>SUM(I176:K176)</f>
        <v>20795.689999999999</v>
      </c>
      <c r="I176" s="561">
        <f>'[2]13. Sociálna starostlivosť'!$AI$104</f>
        <v>20795.689999999999</v>
      </c>
      <c r="J176" s="561">
        <f>'[2]13. Sociálna starostlivosť'!$AJ$104</f>
        <v>0</v>
      </c>
      <c r="K176" s="562">
        <f>'[2]13. Sociálna starostlivosť'!$AK$104</f>
        <v>0</v>
      </c>
      <c r="L176" s="261">
        <f>SUM(M176:O176)</f>
        <v>20000</v>
      </c>
      <c r="M176" s="259">
        <f>'[3]13. Sociálna starostlivosť'!$AI$106</f>
        <v>20000</v>
      </c>
      <c r="N176" s="259">
        <f>'[3]13. Sociálna starostlivosť'!$AJ$106</f>
        <v>0</v>
      </c>
      <c r="O176" s="356">
        <f>'[3]13. Sociálna starostlivosť'!$AK$106</f>
        <v>0</v>
      </c>
      <c r="P176" s="261">
        <f>SUM(Q176:S176)</f>
        <v>20000</v>
      </c>
      <c r="Q176" s="259">
        <f>'[4]13. Sociálna starostlivosť'!$AL$106</f>
        <v>20000</v>
      </c>
      <c r="R176" s="259">
        <f>'[4]13. Sociálna starostlivosť'!$AM$106</f>
        <v>0</v>
      </c>
      <c r="S176" s="259">
        <f>'[4]13. Sociálna starostlivosť'!$AN$106</f>
        <v>0</v>
      </c>
      <c r="T176" s="261">
        <f>SUM(U176:W176)</f>
        <v>7538.64</v>
      </c>
      <c r="U176" s="259">
        <f>'[4]13. Sociálna starostlivosť'!$AO$106</f>
        <v>7538.64</v>
      </c>
      <c r="V176" s="259">
        <f>'[4]13. Sociálna starostlivosť'!$AP$106</f>
        <v>0</v>
      </c>
      <c r="W176" s="259">
        <f>'[4]13. Sociálna starostlivosť'!$AQ$106</f>
        <v>0</v>
      </c>
      <c r="X176" s="261">
        <f>SUM(Y176:AA176)</f>
        <v>0</v>
      </c>
      <c r="Y176" s="259">
        <f>'[4]13. Sociálna starostlivosť'!$AR$106</f>
        <v>0</v>
      </c>
      <c r="Z176" s="259">
        <f>'[4]13. Sociálna starostlivosť'!$AS$106</f>
        <v>0</v>
      </c>
      <c r="AA176" s="259">
        <f>'[4]13. Sociálna starostlivosť'!$AT$106</f>
        <v>0</v>
      </c>
      <c r="AB176" s="261">
        <f>SUM(AC176:AE176)</f>
        <v>20000</v>
      </c>
      <c r="AC176" s="259">
        <f>'[4]13. Sociálna starostlivosť'!$AU$106</f>
        <v>20000</v>
      </c>
      <c r="AD176" s="259">
        <f>'[4]13. Sociálna starostlivosť'!$AV$106</f>
        <v>0</v>
      </c>
      <c r="AE176" s="260">
        <f>'[4]13. Sociálna starostlivosť'!$AW$106</f>
        <v>0</v>
      </c>
    </row>
    <row r="177" spans="1:31" ht="15.75" x14ac:dyDescent="0.25">
      <c r="A177" s="124"/>
      <c r="B177" s="520" t="s">
        <v>606</v>
      </c>
      <c r="C177" s="521" t="s">
        <v>394</v>
      </c>
      <c r="D177" s="560">
        <f>SUM(E177:G177)</f>
        <v>174151.14</v>
      </c>
      <c r="E177" s="561">
        <f>'[1]13. Sociálna starostlivosť'!$AF$106</f>
        <v>174151.14</v>
      </c>
      <c r="F177" s="561">
        <f>'[1]13. Sociálna starostlivosť'!$AG$106</f>
        <v>0</v>
      </c>
      <c r="G177" s="562">
        <f>'[1]13. Sociálna starostlivosť'!$AH$106</f>
        <v>0</v>
      </c>
      <c r="H177" s="560">
        <f>SUM(I177:K177)</f>
        <v>314250.81999999995</v>
      </c>
      <c r="I177" s="561">
        <f>'[2]13. Sociálna starostlivosť'!$AI$106</f>
        <v>314250.81999999995</v>
      </c>
      <c r="J177" s="561">
        <f>'[2]13. Sociálna starostlivosť'!$AJ$106</f>
        <v>0</v>
      </c>
      <c r="K177" s="562">
        <f>'[2]13. Sociálna starostlivosť'!$AK$106</f>
        <v>0</v>
      </c>
      <c r="L177" s="261">
        <f>SUM(M177:O177)</f>
        <v>191500</v>
      </c>
      <c r="M177" s="259">
        <f>'[3]13. Sociálna starostlivosť'!$AI$108</f>
        <v>191500</v>
      </c>
      <c r="N177" s="259">
        <f>'[3]13. Sociálna starostlivosť'!$AJ$108</f>
        <v>0</v>
      </c>
      <c r="O177" s="356">
        <f>'[3]13. Sociálna starostlivosť'!$AK$108</f>
        <v>0</v>
      </c>
      <c r="P177" s="261">
        <f>SUM(Q177:S177)</f>
        <v>193500</v>
      </c>
      <c r="Q177" s="259">
        <f>'[4]13. Sociálna starostlivosť'!$AL$108</f>
        <v>193500</v>
      </c>
      <c r="R177" s="259">
        <f>'[4]13. Sociálna starostlivosť'!$AM$108</f>
        <v>0</v>
      </c>
      <c r="S177" s="259">
        <f>'[4]13. Sociálna starostlivosť'!$AN$108</f>
        <v>0</v>
      </c>
      <c r="T177" s="261">
        <f>SUM(U177:W177)</f>
        <v>36709.550000000003</v>
      </c>
      <c r="U177" s="259">
        <f>'[4]13. Sociálna starostlivosť'!$AO$108</f>
        <v>36709.550000000003</v>
      </c>
      <c r="V177" s="259">
        <f>'[4]13. Sociálna starostlivosť'!$AP$108</f>
        <v>0</v>
      </c>
      <c r="W177" s="259">
        <f>'[4]13. Sociálna starostlivosť'!$AQ$108</f>
        <v>0</v>
      </c>
      <c r="X177" s="261">
        <f>SUM(Y177:AA177)</f>
        <v>0</v>
      </c>
      <c r="Y177" s="259">
        <f>'[4]13. Sociálna starostlivosť'!$AR$108</f>
        <v>0</v>
      </c>
      <c r="Z177" s="259">
        <f>'[4]13. Sociálna starostlivosť'!$AS$108</f>
        <v>0</v>
      </c>
      <c r="AA177" s="259">
        <f>'[4]13. Sociálna starostlivosť'!$AT$108</f>
        <v>0</v>
      </c>
      <c r="AB177" s="261">
        <f>SUM(AC177:AE177)</f>
        <v>193500</v>
      </c>
      <c r="AC177" s="259">
        <f>'[4]13. Sociálna starostlivosť'!$AU$108</f>
        <v>193500</v>
      </c>
      <c r="AD177" s="259">
        <f>'[4]13. Sociálna starostlivosť'!$AV$108</f>
        <v>0</v>
      </c>
      <c r="AE177" s="260">
        <f>'[4]13. Sociálna starostlivosť'!$AW$108</f>
        <v>0</v>
      </c>
    </row>
    <row r="178" spans="1:31" ht="16.5" thickBot="1" x14ac:dyDescent="0.3">
      <c r="A178" s="124"/>
      <c r="B178" s="287" t="s">
        <v>605</v>
      </c>
      <c r="C178" s="364" t="s">
        <v>607</v>
      </c>
      <c r="D178" s="560">
        <f>SUM(E178:G178)</f>
        <v>527509.80000000005</v>
      </c>
      <c r="E178" s="561">
        <f>'[1]13. Sociálna starostlivosť'!$AF$112</f>
        <v>523080</v>
      </c>
      <c r="F178" s="561">
        <f>'[1]13. Sociálna starostlivosť'!$AG$112</f>
        <v>0</v>
      </c>
      <c r="G178" s="562">
        <f>'[1]13. Sociálna starostlivosť'!$AH$112</f>
        <v>4429.8</v>
      </c>
      <c r="H178" s="560">
        <f>SUM(I178:K178)</f>
        <v>112170</v>
      </c>
      <c r="I178" s="561">
        <f>'[2]13. Sociálna starostlivosť'!$AI$112</f>
        <v>112170</v>
      </c>
      <c r="J178" s="561">
        <f>'[2]13. Sociálna starostlivosť'!$AJ$112</f>
        <v>0</v>
      </c>
      <c r="K178" s="562">
        <f>'[2]13. Sociálna starostlivosť'!$AK$112</f>
        <v>0</v>
      </c>
      <c r="L178" s="261">
        <f>SUM(M178:O178)</f>
        <v>110000</v>
      </c>
      <c r="M178" s="259">
        <f>'[3]13. Sociálna starostlivosť'!$AI$114</f>
        <v>110000</v>
      </c>
      <c r="N178" s="259">
        <f>'[3]13. Sociálna starostlivosť'!$AJ$114</f>
        <v>0</v>
      </c>
      <c r="O178" s="356">
        <f>'[3]13. Sociálna starostlivosť'!$AK$114</f>
        <v>0</v>
      </c>
      <c r="P178" s="261">
        <f>SUM(Q178:S178)</f>
        <v>110000</v>
      </c>
      <c r="Q178" s="259">
        <f>'[4]13. Sociálna starostlivosť'!$AL$114</f>
        <v>110000</v>
      </c>
      <c r="R178" s="259">
        <f>'[4]13. Sociálna starostlivosť'!$AM$114</f>
        <v>0</v>
      </c>
      <c r="S178" s="259">
        <f>'[4]13. Sociálna starostlivosť'!$AN$114</f>
        <v>0</v>
      </c>
      <c r="T178" s="261">
        <f>SUM(U178:W178)</f>
        <v>24970</v>
      </c>
      <c r="U178" s="259">
        <f>'[4]13. Sociálna starostlivosť'!$AO$114</f>
        <v>24970</v>
      </c>
      <c r="V178" s="259">
        <f>'[4]13. Sociálna starostlivosť'!$AP$114</f>
        <v>0</v>
      </c>
      <c r="W178" s="259">
        <f>'[4]13. Sociálna starostlivosť'!$AQ$114</f>
        <v>0</v>
      </c>
      <c r="X178" s="261">
        <f>SUM(Y178:AA178)</f>
        <v>0</v>
      </c>
      <c r="Y178" s="259">
        <f>'[4]13. Sociálna starostlivosť'!$AR$114</f>
        <v>0</v>
      </c>
      <c r="Z178" s="259">
        <f>'[4]13. Sociálna starostlivosť'!$AS$114</f>
        <v>0</v>
      </c>
      <c r="AA178" s="259">
        <f>'[4]13. Sociálna starostlivosť'!$AT$114</f>
        <v>0</v>
      </c>
      <c r="AB178" s="261">
        <f>SUM(AC178:AE178)</f>
        <v>110000</v>
      </c>
      <c r="AC178" s="259">
        <f>'[4]13. Sociálna starostlivosť'!$AU$114</f>
        <v>110000</v>
      </c>
      <c r="AD178" s="259">
        <f>'[4]13. Sociálna starostlivosť'!$AV$114</f>
        <v>0</v>
      </c>
      <c r="AE178" s="260">
        <f>'[4]13. Sociálna starostlivosť'!$AW$114</f>
        <v>0</v>
      </c>
    </row>
    <row r="179" spans="1:31" s="123" customFormat="1" ht="17.25" thickBot="1" x14ac:dyDescent="0.35">
      <c r="A179" s="125"/>
      <c r="B179" s="300" t="s">
        <v>372</v>
      </c>
      <c r="C179" s="301"/>
      <c r="D179" s="568">
        <f>SUM(E179:G179)</f>
        <v>835057.74</v>
      </c>
      <c r="E179" s="569">
        <f>'[1]14. Bývanie'!$AF$24</f>
        <v>612564.55999999994</v>
      </c>
      <c r="F179" s="569">
        <f>'[1]14. Bývanie'!$AG$24</f>
        <v>0</v>
      </c>
      <c r="G179" s="570">
        <f>'[1]14. Bývanie'!$AH$24</f>
        <v>222493.18000000002</v>
      </c>
      <c r="H179" s="568">
        <f>SUM(I179:K179)</f>
        <v>528374.38</v>
      </c>
      <c r="I179" s="569">
        <f>'[2]14. Bývanie'!$AI$24</f>
        <v>301969.36</v>
      </c>
      <c r="J179" s="569">
        <f>'[2]14. Bývanie'!$AJ$24</f>
        <v>0</v>
      </c>
      <c r="K179" s="570">
        <f>'[2]14. Bývanie'!$AK$24</f>
        <v>226405.02</v>
      </c>
      <c r="L179" s="515">
        <f>SUM(M179:O179)</f>
        <v>927600</v>
      </c>
      <c r="M179" s="516">
        <f>'[3]14. Bývanie'!$AI$24</f>
        <v>705250</v>
      </c>
      <c r="N179" s="516">
        <f>'[3]14. Bývanie'!$AJ$24</f>
        <v>0</v>
      </c>
      <c r="O179" s="643">
        <f>'[3]14. Bývanie'!$AK$24</f>
        <v>222350</v>
      </c>
      <c r="P179" s="515">
        <f>SUM(Q179:S179)</f>
        <v>927600</v>
      </c>
      <c r="Q179" s="516">
        <f>'[4]14. Bývanie'!$AL$24</f>
        <v>705250</v>
      </c>
      <c r="R179" s="516">
        <f>'[4]14. Bývanie'!$AM$24</f>
        <v>0</v>
      </c>
      <c r="S179" s="516">
        <f>'[4]14. Bývanie'!$AN$24</f>
        <v>222350</v>
      </c>
      <c r="T179" s="515">
        <f>SUM(U179:W179)</f>
        <v>180871.54</v>
      </c>
      <c r="U179" s="516">
        <f>'[4]14. Bývanie'!$AO$24</f>
        <v>103770.89</v>
      </c>
      <c r="V179" s="516">
        <f>'[4]14. Bývanie'!$AP$24</f>
        <v>0</v>
      </c>
      <c r="W179" s="516">
        <f>'[4]14. Bývanie'!$AQ$24</f>
        <v>77100.650000000009</v>
      </c>
      <c r="X179" s="515">
        <f>SUM(Y179:AA179)</f>
        <v>0</v>
      </c>
      <c r="Y179" s="516">
        <f>'[4]14. Bývanie'!$AR$24</f>
        <v>0</v>
      </c>
      <c r="Z179" s="516">
        <f>'[4]14. Bývanie'!$AS$24</f>
        <v>0</v>
      </c>
      <c r="AA179" s="516">
        <f>'[4]14. Bývanie'!$AT$24</f>
        <v>0</v>
      </c>
      <c r="AB179" s="515">
        <f>SUM(AC179:AE179)</f>
        <v>927600</v>
      </c>
      <c r="AC179" s="516">
        <f>'[4]14. Bývanie'!$AU$24</f>
        <v>705250</v>
      </c>
      <c r="AD179" s="516">
        <f>'[4]14. Bývanie'!$AV$24</f>
        <v>0</v>
      </c>
      <c r="AE179" s="517">
        <f>'[4]14. Bývanie'!$AW$24</f>
        <v>222350</v>
      </c>
    </row>
    <row r="180" spans="1:31" s="123" customFormat="1" ht="15.75" x14ac:dyDescent="0.25">
      <c r="A180" s="125"/>
      <c r="B180" s="277" t="s">
        <v>373</v>
      </c>
      <c r="C180" s="284"/>
      <c r="D180" s="557">
        <f t="shared" ref="D180:G180" si="297">SUM(D181:D183)</f>
        <v>7730013.1600000001</v>
      </c>
      <c r="E180" s="558">
        <f t="shared" si="297"/>
        <v>2734352.03</v>
      </c>
      <c r="F180" s="558">
        <f t="shared" si="297"/>
        <v>4273.2</v>
      </c>
      <c r="G180" s="559">
        <f t="shared" si="297"/>
        <v>4991387.93</v>
      </c>
      <c r="H180" s="557">
        <f t="shared" ref="H180:K180" si="298">SUM(H181:H183)</f>
        <v>3833203.1499999994</v>
      </c>
      <c r="I180" s="558">
        <f t="shared" si="298"/>
        <v>3216265.7499999995</v>
      </c>
      <c r="J180" s="558">
        <f t="shared" si="298"/>
        <v>56803.4</v>
      </c>
      <c r="K180" s="559">
        <f t="shared" si="298"/>
        <v>560134</v>
      </c>
      <c r="L180" s="267">
        <f t="shared" ref="L180:S180" si="299">SUM(L181:L183)</f>
        <v>4538640</v>
      </c>
      <c r="M180" s="268">
        <f t="shared" si="299"/>
        <v>3155220</v>
      </c>
      <c r="N180" s="268">
        <f t="shared" si="299"/>
        <v>308420</v>
      </c>
      <c r="O180" s="355">
        <f t="shared" si="299"/>
        <v>1075000</v>
      </c>
      <c r="P180" s="267">
        <f t="shared" si="299"/>
        <v>4376890</v>
      </c>
      <c r="Q180" s="268">
        <f t="shared" si="299"/>
        <v>3003220</v>
      </c>
      <c r="R180" s="268">
        <f t="shared" si="299"/>
        <v>298670</v>
      </c>
      <c r="S180" s="355">
        <f t="shared" si="299"/>
        <v>1075000</v>
      </c>
      <c r="T180" s="267">
        <f t="shared" ref="T180:W180" si="300">SUM(T181:T183)</f>
        <v>1247027.6099999999</v>
      </c>
      <c r="U180" s="268">
        <f t="shared" si="300"/>
        <v>905090.45999999985</v>
      </c>
      <c r="V180" s="268">
        <f t="shared" si="300"/>
        <v>102112.14</v>
      </c>
      <c r="W180" s="355">
        <f t="shared" si="300"/>
        <v>239825.01</v>
      </c>
      <c r="X180" s="267">
        <f t="shared" ref="X180:AE180" si="301">SUM(X181:X183)</f>
        <v>-46005</v>
      </c>
      <c r="Y180" s="268">
        <f t="shared" si="301"/>
        <v>-13000</v>
      </c>
      <c r="Z180" s="268">
        <f t="shared" si="301"/>
        <v>-33005</v>
      </c>
      <c r="AA180" s="355">
        <f t="shared" si="301"/>
        <v>0</v>
      </c>
      <c r="AB180" s="267">
        <f t="shared" si="301"/>
        <v>4330885</v>
      </c>
      <c r="AC180" s="268">
        <f t="shared" si="301"/>
        <v>2990220</v>
      </c>
      <c r="AD180" s="268">
        <f t="shared" si="301"/>
        <v>265665</v>
      </c>
      <c r="AE180" s="355">
        <f t="shared" si="301"/>
        <v>1075000</v>
      </c>
    </row>
    <row r="181" spans="1:31" ht="15.75" x14ac:dyDescent="0.25">
      <c r="B181" s="299" t="s">
        <v>414</v>
      </c>
      <c r="C181" s="298" t="s">
        <v>419</v>
      </c>
      <c r="D181" s="560">
        <f>SUM(E181:G181)</f>
        <v>2442249.58</v>
      </c>
      <c r="E181" s="561">
        <f>'[1]15. Administratíva'!$AF$4</f>
        <v>2437976.38</v>
      </c>
      <c r="F181" s="561">
        <f>'[1]15. Administratíva'!$AG$4</f>
        <v>4273.2</v>
      </c>
      <c r="G181" s="562">
        <f>'[1]15. Administratíva'!$AH$4</f>
        <v>0</v>
      </c>
      <c r="H181" s="560">
        <f>SUM(I181:K181)</f>
        <v>2625858.2899999991</v>
      </c>
      <c r="I181" s="561">
        <f>'[2]15. Administratíva'!$AI$4</f>
        <v>2603004.8899999992</v>
      </c>
      <c r="J181" s="561">
        <f>'[2]15. Administratíva'!$AJ$4</f>
        <v>22853.4</v>
      </c>
      <c r="K181" s="562">
        <f>'[2]15. Administratíva'!$AK$4</f>
        <v>0</v>
      </c>
      <c r="L181" s="261">
        <f>SUM(M181:O181)</f>
        <v>3088640</v>
      </c>
      <c r="M181" s="259">
        <f>'[3]15. Administratíva'!$AI$4</f>
        <v>2780220</v>
      </c>
      <c r="N181" s="259">
        <f>'[3]15. Administratíva'!$AJ$4</f>
        <v>308420</v>
      </c>
      <c r="O181" s="356">
        <f>'[3]15. Administratíva'!$AK$4</f>
        <v>0</v>
      </c>
      <c r="P181" s="261">
        <f>SUM(Q181:S181)</f>
        <v>3078890</v>
      </c>
      <c r="Q181" s="259">
        <f>'[4]15. Administratíva'!$AL$4</f>
        <v>2780220</v>
      </c>
      <c r="R181" s="259">
        <f>'[4]15. Administratíva'!$AM$4</f>
        <v>298670</v>
      </c>
      <c r="S181" s="259">
        <f>'[4]15. Administratíva'!$AN$4</f>
        <v>0</v>
      </c>
      <c r="T181" s="261">
        <f>SUM(U181:W181)</f>
        <v>961555.09999999986</v>
      </c>
      <c r="U181" s="259">
        <f>'[4]15. Administratíva'!$AO$4</f>
        <v>859442.95999999985</v>
      </c>
      <c r="V181" s="259">
        <f>'[4]15. Administratíva'!$AP$4</f>
        <v>102112.14</v>
      </c>
      <c r="W181" s="259">
        <f>'[4]15. Administratíva'!$AQ$4</f>
        <v>0</v>
      </c>
      <c r="X181" s="261">
        <f>SUM(Y181:AA181)</f>
        <v>21995</v>
      </c>
      <c r="Y181" s="259">
        <f>'[4]15. Administratíva'!$AR$4</f>
        <v>55000</v>
      </c>
      <c r="Z181" s="259">
        <f>'[4]15. Administratíva'!$AS$4</f>
        <v>-33005</v>
      </c>
      <c r="AA181" s="259">
        <f>'[4]15. Administratíva'!$AT$4</f>
        <v>0</v>
      </c>
      <c r="AB181" s="261">
        <f>SUM(AC181:AE181)</f>
        <v>3100885</v>
      </c>
      <c r="AC181" s="259">
        <f>'[4]15. Administratíva'!$AU$4</f>
        <v>2835220</v>
      </c>
      <c r="AD181" s="259">
        <f>'[4]15. Administratíva'!$AV$4</f>
        <v>265665</v>
      </c>
      <c r="AE181" s="260">
        <f>'[4]15. Administratíva'!$AW$4</f>
        <v>0</v>
      </c>
    </row>
    <row r="182" spans="1:31" ht="15.75" x14ac:dyDescent="0.25">
      <c r="B182" s="299" t="s">
        <v>415</v>
      </c>
      <c r="C182" s="298" t="s">
        <v>417</v>
      </c>
      <c r="D182" s="560">
        <f>SUM(E182:G182)</f>
        <v>0</v>
      </c>
      <c r="E182" s="561">
        <f>'[1]15. Administratíva'!$AF$102</f>
        <v>0</v>
      </c>
      <c r="F182" s="561">
        <f>'[1]15. Administratíva'!$AG$102</f>
        <v>0</v>
      </c>
      <c r="G182" s="562">
        <f>'[1]15. Administratíva'!$AH$102</f>
        <v>0</v>
      </c>
      <c r="H182" s="560">
        <f>SUM(I182:K182)</f>
        <v>486452.95</v>
      </c>
      <c r="I182" s="561">
        <f>'[2]15. Administratíva'!$AI$102</f>
        <v>452502.95</v>
      </c>
      <c r="J182" s="561">
        <f>'[2]15. Administratíva'!$AJ$102</f>
        <v>33950</v>
      </c>
      <c r="K182" s="562">
        <f>'[2]15. Administratíva'!$AK$102</f>
        <v>0</v>
      </c>
      <c r="L182" s="261">
        <f>SUM(M182:O182)</f>
        <v>200000</v>
      </c>
      <c r="M182" s="259">
        <f>'[3]15. Administratíva'!$AI$102</f>
        <v>200000</v>
      </c>
      <c r="N182" s="259">
        <f>'[3]15. Administratíva'!$AJ$102</f>
        <v>0</v>
      </c>
      <c r="O182" s="356">
        <f>'[3]15. Administratíva'!$AK$102</f>
        <v>0</v>
      </c>
      <c r="P182" s="261">
        <f>SUM(Q182:S182)</f>
        <v>48000</v>
      </c>
      <c r="Q182" s="259">
        <f>'[4]15. Administratíva'!$AL$102</f>
        <v>48000</v>
      </c>
      <c r="R182" s="259">
        <f>'[4]15. Administratíva'!$AM$102</f>
        <v>0</v>
      </c>
      <c r="S182" s="259">
        <f>'[4]15. Administratíva'!$AN$102</f>
        <v>0</v>
      </c>
      <c r="T182" s="261">
        <f>SUM(U182:W182)</f>
        <v>0</v>
      </c>
      <c r="U182" s="259">
        <f>'[4]15. Administratíva'!$AO$102</f>
        <v>0</v>
      </c>
      <c r="V182" s="259">
        <f>'[4]15. Administratíva'!$AP$102</f>
        <v>0</v>
      </c>
      <c r="W182" s="259">
        <f>'[4]15. Administratíva'!$AQ$102</f>
        <v>0</v>
      </c>
      <c r="X182" s="261">
        <f>SUM(Y182:AA182)</f>
        <v>-48000</v>
      </c>
      <c r="Y182" s="259">
        <f>'[4]15. Administratíva'!$AR$102</f>
        <v>-48000</v>
      </c>
      <c r="Z182" s="259">
        <f>'[4]15. Administratíva'!$AS$102</f>
        <v>0</v>
      </c>
      <c r="AA182" s="259">
        <f>'[4]15. Administratíva'!$AT$102</f>
        <v>0</v>
      </c>
      <c r="AB182" s="261">
        <f>SUM(AC182:AE182)</f>
        <v>0</v>
      </c>
      <c r="AC182" s="259">
        <f>'[4]15. Administratíva'!$AU$102</f>
        <v>0</v>
      </c>
      <c r="AD182" s="259">
        <f>'[4]15. Administratíva'!$AV$102</f>
        <v>0</v>
      </c>
      <c r="AE182" s="260">
        <f>'[4]15. Administratíva'!$AW$102</f>
        <v>0</v>
      </c>
    </row>
    <row r="183" spans="1:31" ht="16.5" thickBot="1" x14ac:dyDescent="0.3">
      <c r="A183" s="124"/>
      <c r="B183" s="302" t="s">
        <v>416</v>
      </c>
      <c r="C183" s="298" t="s">
        <v>418</v>
      </c>
      <c r="D183" s="571">
        <f>SUM(E183:G183)</f>
        <v>5287763.58</v>
      </c>
      <c r="E183" s="572">
        <f>'[1]15. Administratíva'!$AF$103</f>
        <v>296375.65000000002</v>
      </c>
      <c r="F183" s="572">
        <f>'[1]15. Administratíva'!$AG$103</f>
        <v>0</v>
      </c>
      <c r="G183" s="573">
        <f>'[1]15. Administratíva'!$AH$103</f>
        <v>4991387.93</v>
      </c>
      <c r="H183" s="571">
        <f>SUM(I183:K183)</f>
        <v>720891.91</v>
      </c>
      <c r="I183" s="572">
        <f>'[2]15. Administratíva'!$AI$103</f>
        <v>160757.91</v>
      </c>
      <c r="J183" s="572">
        <f>'[2]15. Administratíva'!$AJ$103</f>
        <v>0</v>
      </c>
      <c r="K183" s="573">
        <f>'[2]15. Administratíva'!$AK$103</f>
        <v>560134</v>
      </c>
      <c r="L183" s="264">
        <f>SUM(M183:O183)</f>
        <v>1250000</v>
      </c>
      <c r="M183" s="265">
        <f>'[3]15. Administratíva'!$AI$103</f>
        <v>175000</v>
      </c>
      <c r="N183" s="265">
        <f>'[3]15. Administratíva'!$AJ$103</f>
        <v>0</v>
      </c>
      <c r="O183" s="644">
        <f>'[3]15. Administratíva'!$AK$103</f>
        <v>1075000</v>
      </c>
      <c r="P183" s="264">
        <f>SUM(Q183:S183)</f>
        <v>1250000</v>
      </c>
      <c r="Q183" s="265">
        <f>'[4]15. Administratíva'!$AL$103</f>
        <v>175000</v>
      </c>
      <c r="R183" s="265">
        <f>'[4]15. Administratíva'!$AM$103</f>
        <v>0</v>
      </c>
      <c r="S183" s="265">
        <f>'[4]15. Administratíva'!$AN$103</f>
        <v>1075000</v>
      </c>
      <c r="T183" s="264">
        <f>SUM(U183:W183)</f>
        <v>285472.51</v>
      </c>
      <c r="U183" s="265">
        <f>'[4]15. Administratíva'!$AO$103</f>
        <v>45647.5</v>
      </c>
      <c r="V183" s="265">
        <f>'[4]15. Administratíva'!$AP$103</f>
        <v>0</v>
      </c>
      <c r="W183" s="265">
        <f>'[4]15. Administratíva'!$AQ$103</f>
        <v>239825.01</v>
      </c>
      <c r="X183" s="264">
        <f>SUM(Y183:AA183)</f>
        <v>-20000</v>
      </c>
      <c r="Y183" s="265">
        <f>'[4]15. Administratíva'!$AR$103</f>
        <v>-20000</v>
      </c>
      <c r="Z183" s="265">
        <f>'[4]15. Administratíva'!$AS$103</f>
        <v>0</v>
      </c>
      <c r="AA183" s="265">
        <f>'[4]15. Administratíva'!$AT$103</f>
        <v>0</v>
      </c>
      <c r="AB183" s="264">
        <f>SUM(AC183:AE183)</f>
        <v>1230000</v>
      </c>
      <c r="AC183" s="265">
        <f>'[4]15. Administratíva'!$AU$103</f>
        <v>155000</v>
      </c>
      <c r="AD183" s="265">
        <f>'[4]15. Administratíva'!$AV$103</f>
        <v>0</v>
      </c>
      <c r="AE183" s="266">
        <f>'[4]15. Administratíva'!$AW$103</f>
        <v>1075000</v>
      </c>
    </row>
    <row r="186" spans="1:31" x14ac:dyDescent="0.2">
      <c r="A186" s="124"/>
    </row>
    <row r="192" spans="1:31" x14ac:dyDescent="0.2">
      <c r="A192" s="124"/>
    </row>
    <row r="193" spans="1:1" x14ac:dyDescent="0.2">
      <c r="A193" s="124"/>
    </row>
    <row r="195" spans="1:1" x14ac:dyDescent="0.2">
      <c r="A195" s="102"/>
    </row>
    <row r="196" spans="1:1" x14ac:dyDescent="0.2">
      <c r="A196" s="102"/>
    </row>
    <row r="197" spans="1:1" x14ac:dyDescent="0.2">
      <c r="A197" s="102"/>
    </row>
    <row r="198" spans="1:1" x14ac:dyDescent="0.2">
      <c r="A198" s="102"/>
    </row>
    <row r="199" spans="1:1" x14ac:dyDescent="0.2">
      <c r="A199" s="102"/>
    </row>
    <row r="200" spans="1:1" x14ac:dyDescent="0.2">
      <c r="A200" s="102"/>
    </row>
    <row r="201" spans="1:1" x14ac:dyDescent="0.2">
      <c r="A201" s="102"/>
    </row>
    <row r="202" spans="1:1" x14ac:dyDescent="0.2">
      <c r="A202" s="124"/>
    </row>
  </sheetData>
  <sheetProtection selectLockedCells="1" selectUnlockedCells="1"/>
  <mergeCells count="9">
    <mergeCell ref="AB3:AE4"/>
    <mergeCell ref="B1:AE2"/>
    <mergeCell ref="D3:G4"/>
    <mergeCell ref="B4:C5"/>
    <mergeCell ref="H3:K4"/>
    <mergeCell ref="L3:O4"/>
    <mergeCell ref="T3:W4"/>
    <mergeCell ref="P3:S4"/>
    <mergeCell ref="X3:AA4"/>
  </mergeCells>
  <phoneticPr fontId="0" type="noConversion"/>
  <pageMargins left="0" right="0" top="0" bottom="0" header="0.51181102362204722" footer="0.51181102362204722"/>
  <pageSetup paperSize="8" scale="43" firstPageNumber="0" fitToWidth="0" fitToHeight="0" orientation="landscape" r:id="rId1"/>
  <headerFooter alignWithMargins="0">
    <oddFooter>&amp;CStránka &amp;P&amp;R&amp;A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33"/>
  <sheetViews>
    <sheetView workbookViewId="0">
      <pane ySplit="2" topLeftCell="A117" activePane="bottomLeft" state="frozen"/>
      <selection pane="bottomLeft" sqref="A1:F1"/>
    </sheetView>
  </sheetViews>
  <sheetFormatPr defaultRowHeight="15" x14ac:dyDescent="0.25"/>
  <cols>
    <col min="1" max="1" width="49.7109375" customWidth="1"/>
    <col min="2" max="3" width="12.85546875" customWidth="1"/>
    <col min="4" max="4" width="12.85546875" style="1" customWidth="1"/>
    <col min="5" max="5" width="18.140625" style="1" bestFit="1" customWidth="1"/>
    <col min="6" max="6" width="16" style="1" customWidth="1"/>
  </cols>
  <sheetData>
    <row r="1" spans="1:7" ht="16.5" customHeight="1" thickBot="1" x14ac:dyDescent="0.3">
      <c r="A1" s="843" t="s">
        <v>393</v>
      </c>
      <c r="B1" s="843"/>
      <c r="C1" s="843"/>
      <c r="D1" s="843"/>
      <c r="E1" s="843"/>
      <c r="F1" s="843"/>
    </row>
    <row r="2" spans="1:7" ht="15.75" thickBot="1" x14ac:dyDescent="0.3">
      <c r="A2" s="2"/>
      <c r="B2" s="3" t="s">
        <v>0</v>
      </c>
      <c r="C2" s="3" t="s">
        <v>1</v>
      </c>
      <c r="D2" s="3" t="s">
        <v>2</v>
      </c>
      <c r="E2" s="3" t="s">
        <v>390</v>
      </c>
      <c r="F2" s="4" t="s">
        <v>3</v>
      </c>
    </row>
    <row r="3" spans="1:7" ht="16.5" thickBot="1" x14ac:dyDescent="0.3">
      <c r="A3" s="5" t="s">
        <v>4</v>
      </c>
      <c r="B3" s="6">
        <f>B4+B15</f>
        <v>10611235.030000001</v>
      </c>
      <c r="C3" s="7">
        <f>C4+C15</f>
        <v>10916798.300000001</v>
      </c>
      <c r="D3" s="7">
        <f>D4+D15</f>
        <v>11688460</v>
      </c>
      <c r="E3" s="7">
        <v>11192555</v>
      </c>
      <c r="F3" s="7">
        <f>F4+F15</f>
        <v>11690737</v>
      </c>
    </row>
    <row r="4" spans="1:7" x14ac:dyDescent="0.25">
      <c r="A4" s="8" t="s">
        <v>5</v>
      </c>
      <c r="B4" s="9">
        <f>B5+B7+B9</f>
        <v>5754962.3000000007</v>
      </c>
      <c r="C4" s="10">
        <f>C5+C7+C9</f>
        <v>6416067.8399999999</v>
      </c>
      <c r="D4" s="10">
        <f>D5+D7+D9</f>
        <v>6967545</v>
      </c>
      <c r="E4" s="10">
        <v>6770079</v>
      </c>
      <c r="F4" s="10">
        <f>F5+F7+F9</f>
        <v>6809308</v>
      </c>
    </row>
    <row r="5" spans="1:7" x14ac:dyDescent="0.25">
      <c r="A5" s="11" t="s">
        <v>6</v>
      </c>
      <c r="B5" s="12">
        <f>SUM(B6)</f>
        <v>4489948.6500000004</v>
      </c>
      <c r="C5" s="13">
        <f>SUM(C6)</f>
        <v>5134478.62</v>
      </c>
      <c r="D5" s="13">
        <f>SUM(D6)</f>
        <v>5356545</v>
      </c>
      <c r="E5" s="13">
        <v>5198054</v>
      </c>
      <c r="F5" s="12">
        <f>SUM(F6)</f>
        <v>5177308</v>
      </c>
    </row>
    <row r="6" spans="1:7" x14ac:dyDescent="0.25">
      <c r="A6" s="14" t="s">
        <v>7</v>
      </c>
      <c r="B6" s="15">
        <v>4489948.6500000004</v>
      </c>
      <c r="C6" s="15">
        <v>5134478.62</v>
      </c>
      <c r="D6" s="15">
        <v>5356545</v>
      </c>
      <c r="E6" s="15">
        <v>5198054</v>
      </c>
      <c r="F6" s="15">
        <v>5177308</v>
      </c>
      <c r="G6" s="1"/>
    </row>
    <row r="7" spans="1:7" x14ac:dyDescent="0.25">
      <c r="A7" s="16" t="s">
        <v>8</v>
      </c>
      <c r="B7" s="17">
        <f>SUM(B8)</f>
        <v>730988.65</v>
      </c>
      <c r="C7" s="13">
        <f>SUM(C8)</f>
        <v>728087.41</v>
      </c>
      <c r="D7" s="13">
        <f>SUM(D8)</f>
        <v>810000</v>
      </c>
      <c r="E7" s="13">
        <v>801388</v>
      </c>
      <c r="F7" s="12">
        <f>SUM(F8)</f>
        <v>815000</v>
      </c>
    </row>
    <row r="8" spans="1:7" x14ac:dyDescent="0.25">
      <c r="A8" s="18" t="s">
        <v>9</v>
      </c>
      <c r="B8" s="15">
        <v>730988.65</v>
      </c>
      <c r="C8" s="15">
        <v>728087.41</v>
      </c>
      <c r="D8" s="15">
        <v>810000</v>
      </c>
      <c r="E8" s="15">
        <v>801388</v>
      </c>
      <c r="F8" s="15">
        <v>815000</v>
      </c>
      <c r="G8" s="126"/>
    </row>
    <row r="9" spans="1:7" x14ac:dyDescent="0.25">
      <c r="A9" s="16" t="s">
        <v>10</v>
      </c>
      <c r="B9" s="17">
        <f>SUM(B10:B14)</f>
        <v>534025</v>
      </c>
      <c r="C9" s="13">
        <f>SUM(C10:C14)</f>
        <v>553501.80999999994</v>
      </c>
      <c r="D9" s="13">
        <f>SUM(D10:D14)</f>
        <v>801000</v>
      </c>
      <c r="E9" s="13">
        <v>770637</v>
      </c>
      <c r="F9" s="12">
        <f>SUM(F10:F14)</f>
        <v>817000</v>
      </c>
    </row>
    <row r="10" spans="1:7" x14ac:dyDescent="0.25">
      <c r="A10" s="20" t="s">
        <v>11</v>
      </c>
      <c r="B10" s="21">
        <v>12240</v>
      </c>
      <c r="C10" s="19">
        <v>11638.67</v>
      </c>
      <c r="D10" s="19">
        <v>19000</v>
      </c>
      <c r="E10" s="19">
        <v>19482</v>
      </c>
      <c r="F10" s="19">
        <v>19000</v>
      </c>
    </row>
    <row r="11" spans="1:7" x14ac:dyDescent="0.25">
      <c r="A11" s="20" t="s">
        <v>12</v>
      </c>
      <c r="B11" s="21">
        <v>21788</v>
      </c>
      <c r="C11" s="19">
        <v>21117.64</v>
      </c>
      <c r="D11" s="19">
        <v>22000</v>
      </c>
      <c r="E11" s="19">
        <v>22332</v>
      </c>
      <c r="F11" s="19">
        <v>27000</v>
      </c>
    </row>
    <row r="12" spans="1:7" x14ac:dyDescent="0.25">
      <c r="A12" s="20" t="s">
        <v>13</v>
      </c>
      <c r="B12" s="21">
        <v>30230</v>
      </c>
      <c r="C12" s="19">
        <v>32337.03</v>
      </c>
      <c r="D12" s="19">
        <v>40000</v>
      </c>
      <c r="E12" s="19">
        <v>48023</v>
      </c>
      <c r="F12" s="19">
        <v>46000</v>
      </c>
    </row>
    <row r="13" spans="1:7" x14ac:dyDescent="0.25">
      <c r="A13" s="20" t="s">
        <v>14</v>
      </c>
      <c r="B13" s="21">
        <v>353791</v>
      </c>
      <c r="C13" s="19">
        <v>382370.97</v>
      </c>
      <c r="D13" s="19">
        <v>580000</v>
      </c>
      <c r="E13" s="19">
        <v>567850</v>
      </c>
      <c r="F13" s="19">
        <v>580000</v>
      </c>
      <c r="G13" s="126"/>
    </row>
    <row r="14" spans="1:7" x14ac:dyDescent="0.25">
      <c r="A14" s="20" t="s">
        <v>15</v>
      </c>
      <c r="B14" s="22">
        <v>115976</v>
      </c>
      <c r="C14" s="19">
        <v>106037.5</v>
      </c>
      <c r="D14" s="19">
        <v>140000</v>
      </c>
      <c r="E14" s="19">
        <v>112950</v>
      </c>
      <c r="F14" s="23">
        <v>145000</v>
      </c>
    </row>
    <row r="15" spans="1:7" x14ac:dyDescent="0.25">
      <c r="A15" s="24" t="s">
        <v>16</v>
      </c>
      <c r="B15" s="25">
        <f>B16+B28+B55+B65</f>
        <v>4856272.7300000004</v>
      </c>
      <c r="C15" s="25">
        <f>C16+C28+C55+C65</f>
        <v>4500730.46</v>
      </c>
      <c r="D15" s="26">
        <f>D16+D28+D55+D65</f>
        <v>4720915</v>
      </c>
      <c r="E15" s="26">
        <v>4422476</v>
      </c>
      <c r="F15" s="26">
        <f>F16+F28+F55+F65</f>
        <v>4881429</v>
      </c>
    </row>
    <row r="16" spans="1:7" x14ac:dyDescent="0.25">
      <c r="A16" s="11" t="s">
        <v>17</v>
      </c>
      <c r="B16" s="12">
        <f>SUM(B17:B27)</f>
        <v>913359</v>
      </c>
      <c r="C16" s="13">
        <f>SUM(C17:C27)</f>
        <v>741384.84999999986</v>
      </c>
      <c r="D16" s="13">
        <f>SUM(D17:D27)</f>
        <v>709500</v>
      </c>
      <c r="E16" s="13">
        <v>666551</v>
      </c>
      <c r="F16" s="12">
        <f>SUM(F17:F27)</f>
        <v>741354</v>
      </c>
    </row>
    <row r="17" spans="1:7" x14ac:dyDescent="0.25">
      <c r="A17" s="14" t="s">
        <v>18</v>
      </c>
      <c r="B17" s="21">
        <v>58794</v>
      </c>
      <c r="C17" s="19">
        <v>61567.88</v>
      </c>
      <c r="D17" s="19">
        <v>70000</v>
      </c>
      <c r="E17" s="19">
        <v>59299</v>
      </c>
      <c r="F17" s="27">
        <v>69000</v>
      </c>
    </row>
    <row r="18" spans="1:7" x14ac:dyDescent="0.25">
      <c r="A18" s="14" t="s">
        <v>19</v>
      </c>
      <c r="B18" s="21">
        <v>232206</v>
      </c>
      <c r="C18" s="19">
        <v>60374.58</v>
      </c>
      <c r="D18" s="19">
        <v>21500</v>
      </c>
      <c r="E18" s="19">
        <v>24760</v>
      </c>
      <c r="F18" s="27">
        <v>7640</v>
      </c>
    </row>
    <row r="19" spans="1:7" x14ac:dyDescent="0.25">
      <c r="A19" s="14" t="s">
        <v>20</v>
      </c>
      <c r="B19" s="21">
        <v>1481</v>
      </c>
      <c r="C19" s="19">
        <v>1539.87</v>
      </c>
      <c r="D19" s="19">
        <v>1500</v>
      </c>
      <c r="E19" s="19">
        <v>1407</v>
      </c>
      <c r="F19" s="27">
        <v>1400</v>
      </c>
    </row>
    <row r="20" spans="1:7" x14ac:dyDescent="0.25">
      <c r="A20" s="14" t="s">
        <v>21</v>
      </c>
      <c r="B20" s="21">
        <v>441537</v>
      </c>
      <c r="C20" s="19">
        <v>438184.47</v>
      </c>
      <c r="D20" s="19">
        <v>440000</v>
      </c>
      <c r="E20" s="19">
        <v>398986</v>
      </c>
      <c r="F20" s="27">
        <v>450100</v>
      </c>
    </row>
    <row r="21" spans="1:7" x14ac:dyDescent="0.25">
      <c r="A21" s="14" t="s">
        <v>22</v>
      </c>
      <c r="B21" s="21">
        <v>58904</v>
      </c>
      <c r="C21" s="19">
        <v>66439.460000000006</v>
      </c>
      <c r="D21" s="19">
        <v>60000</v>
      </c>
      <c r="E21" s="19">
        <v>44754</v>
      </c>
      <c r="F21" s="27">
        <v>44500</v>
      </c>
    </row>
    <row r="22" spans="1:7" x14ac:dyDescent="0.25">
      <c r="A22" s="14" t="s">
        <v>23</v>
      </c>
      <c r="B22" s="21">
        <v>68994</v>
      </c>
      <c r="C22" s="19">
        <v>56914.62</v>
      </c>
      <c r="D22" s="19">
        <v>60000</v>
      </c>
      <c r="E22" s="19">
        <v>73634</v>
      </c>
      <c r="F22" s="27">
        <v>65300</v>
      </c>
    </row>
    <row r="23" spans="1:7" x14ac:dyDescent="0.25">
      <c r="A23" s="14" t="s">
        <v>24</v>
      </c>
      <c r="B23" s="21">
        <v>5332</v>
      </c>
      <c r="C23" s="19">
        <v>5331.96</v>
      </c>
      <c r="D23" s="19">
        <v>5500</v>
      </c>
      <c r="E23" s="19">
        <v>5332</v>
      </c>
      <c r="F23" s="27">
        <v>5982</v>
      </c>
    </row>
    <row r="24" spans="1:7" x14ac:dyDescent="0.25">
      <c r="A24" s="14" t="s">
        <v>25</v>
      </c>
      <c r="B24" s="21">
        <v>16480</v>
      </c>
      <c r="C24" s="19">
        <v>20030.12</v>
      </c>
      <c r="D24" s="19">
        <v>21000</v>
      </c>
      <c r="E24" s="19">
        <v>16675</v>
      </c>
      <c r="F24" s="27">
        <v>21000</v>
      </c>
    </row>
    <row r="25" spans="1:7" x14ac:dyDescent="0.25">
      <c r="A25" s="14" t="s">
        <v>26</v>
      </c>
      <c r="B25" s="21">
        <v>19605</v>
      </c>
      <c r="C25" s="19">
        <v>22524.68</v>
      </c>
      <c r="D25" s="19">
        <v>20000</v>
      </c>
      <c r="E25" s="19">
        <v>31206</v>
      </c>
      <c r="F25" s="27">
        <v>23432</v>
      </c>
    </row>
    <row r="26" spans="1:7" x14ac:dyDescent="0.25">
      <c r="A26" s="14" t="s">
        <v>27</v>
      </c>
      <c r="B26" s="21"/>
      <c r="C26" s="19"/>
      <c r="D26" s="19"/>
      <c r="E26" s="19"/>
      <c r="F26" s="27">
        <v>45000</v>
      </c>
    </row>
    <row r="27" spans="1:7" x14ac:dyDescent="0.25">
      <c r="A27" s="18" t="s">
        <v>28</v>
      </c>
      <c r="B27" s="22">
        <v>10026</v>
      </c>
      <c r="C27" s="15">
        <v>8477.2099999999991</v>
      </c>
      <c r="D27" s="15">
        <v>10000</v>
      </c>
      <c r="E27" s="15">
        <v>11498</v>
      </c>
      <c r="F27" s="28">
        <v>8000</v>
      </c>
    </row>
    <row r="28" spans="1:7" x14ac:dyDescent="0.25">
      <c r="A28" s="11" t="s">
        <v>29</v>
      </c>
      <c r="B28" s="17">
        <f>SUM(B29:B54)</f>
        <v>423158.39</v>
      </c>
      <c r="C28" s="13">
        <f>SUM(C29:C54)</f>
        <v>422010.56999999989</v>
      </c>
      <c r="D28" s="13">
        <f>SUM(D29:D54)</f>
        <v>421220</v>
      </c>
      <c r="E28" s="13">
        <v>328110</v>
      </c>
      <c r="F28" s="12">
        <f>SUM(F29:F54)</f>
        <v>466220</v>
      </c>
    </row>
    <row r="29" spans="1:7" x14ac:dyDescent="0.25">
      <c r="A29" s="14" t="s">
        <v>30</v>
      </c>
      <c r="B29" s="21">
        <v>213570.5</v>
      </c>
      <c r="C29" s="19">
        <v>201861.5</v>
      </c>
      <c r="D29" s="19">
        <v>210000</v>
      </c>
      <c r="E29" s="19">
        <v>136694</v>
      </c>
      <c r="F29" s="29">
        <v>160000</v>
      </c>
      <c r="G29" s="126"/>
    </row>
    <row r="30" spans="1:7" x14ac:dyDescent="0.25">
      <c r="A30" s="14" t="s">
        <v>31</v>
      </c>
      <c r="B30" s="21">
        <v>15550</v>
      </c>
      <c r="C30" s="19">
        <v>20652.810000000001</v>
      </c>
      <c r="D30" s="19">
        <v>20000</v>
      </c>
      <c r="E30" s="19">
        <v>16818</v>
      </c>
      <c r="F30" s="23">
        <v>35000</v>
      </c>
    </row>
    <row r="31" spans="1:7" x14ac:dyDescent="0.25">
      <c r="A31" s="14" t="s">
        <v>32</v>
      </c>
      <c r="B31" s="21">
        <v>2749.5</v>
      </c>
      <c r="C31" s="19">
        <v>2974.5</v>
      </c>
      <c r="D31" s="19">
        <v>3300</v>
      </c>
      <c r="E31" s="19">
        <v>3136</v>
      </c>
      <c r="F31" s="19">
        <v>5000</v>
      </c>
    </row>
    <row r="32" spans="1:7" x14ac:dyDescent="0.25">
      <c r="A32" s="14" t="s">
        <v>33</v>
      </c>
      <c r="B32" s="21">
        <v>1233</v>
      </c>
      <c r="C32" s="19">
        <v>1359</v>
      </c>
      <c r="D32" s="19">
        <v>1300</v>
      </c>
      <c r="E32" s="19">
        <v>1435</v>
      </c>
      <c r="F32" s="19">
        <v>2000</v>
      </c>
    </row>
    <row r="33" spans="1:6" x14ac:dyDescent="0.25">
      <c r="A33" s="14" t="s">
        <v>34</v>
      </c>
      <c r="B33" s="21">
        <v>3500</v>
      </c>
      <c r="C33" s="19">
        <v>1783</v>
      </c>
      <c r="D33" s="19">
        <v>2500</v>
      </c>
      <c r="E33" s="19">
        <v>1048</v>
      </c>
      <c r="F33" s="19">
        <v>2000</v>
      </c>
    </row>
    <row r="34" spans="1:6" x14ac:dyDescent="0.25">
      <c r="A34" s="14" t="s">
        <v>35</v>
      </c>
      <c r="B34" s="21">
        <v>16632</v>
      </c>
      <c r="C34" s="19">
        <v>17708</v>
      </c>
      <c r="D34" s="19">
        <v>18000</v>
      </c>
      <c r="E34" s="19">
        <v>21324</v>
      </c>
      <c r="F34" s="19">
        <v>23000</v>
      </c>
    </row>
    <row r="35" spans="1:6" x14ac:dyDescent="0.25">
      <c r="A35" s="14" t="s">
        <v>36</v>
      </c>
      <c r="B35" s="21">
        <v>42143.99</v>
      </c>
      <c r="C35" s="19">
        <v>26847.57</v>
      </c>
      <c r="D35" s="19">
        <v>20000</v>
      </c>
      <c r="E35" s="19">
        <v>24953</v>
      </c>
      <c r="F35" s="23">
        <v>60000</v>
      </c>
    </row>
    <row r="36" spans="1:6" x14ac:dyDescent="0.25">
      <c r="A36" s="14" t="s">
        <v>37</v>
      </c>
      <c r="B36" s="21"/>
      <c r="C36" s="19">
        <v>4827</v>
      </c>
      <c r="D36" s="19"/>
      <c r="E36" s="19">
        <v>0</v>
      </c>
      <c r="F36" s="19"/>
    </row>
    <row r="37" spans="1:6" x14ac:dyDescent="0.25">
      <c r="A37" s="14" t="s">
        <v>38</v>
      </c>
      <c r="B37" s="21">
        <v>10957.68</v>
      </c>
      <c r="C37" s="19">
        <v>12607.72</v>
      </c>
      <c r="D37" s="19">
        <v>13000</v>
      </c>
      <c r="E37" s="19">
        <v>10746</v>
      </c>
      <c r="F37" s="19">
        <v>14000</v>
      </c>
    </row>
    <row r="38" spans="1:6" x14ac:dyDescent="0.25">
      <c r="A38" s="14" t="s">
        <v>39</v>
      </c>
      <c r="B38" s="21">
        <v>5151.91</v>
      </c>
      <c r="C38" s="19">
        <v>9754.7199999999993</v>
      </c>
      <c r="D38" s="19">
        <v>10000</v>
      </c>
      <c r="E38" s="19">
        <v>3844</v>
      </c>
      <c r="F38" s="23">
        <v>10000</v>
      </c>
    </row>
    <row r="39" spans="1:6" x14ac:dyDescent="0.25">
      <c r="A39" s="14" t="s">
        <v>40</v>
      </c>
      <c r="B39" s="21">
        <v>1128</v>
      </c>
      <c r="C39" s="19">
        <v>92.5</v>
      </c>
      <c r="D39" s="19">
        <v>0</v>
      </c>
      <c r="E39" s="19">
        <v>200</v>
      </c>
      <c r="F39" s="19">
        <v>0</v>
      </c>
    </row>
    <row r="40" spans="1:6" x14ac:dyDescent="0.25">
      <c r="A40" s="30" t="s">
        <v>41</v>
      </c>
      <c r="B40" s="21">
        <v>17579.759999999998</v>
      </c>
      <c r="C40" s="19">
        <v>17662.91</v>
      </c>
      <c r="D40" s="19">
        <v>19920</v>
      </c>
      <c r="E40" s="19">
        <v>17293</v>
      </c>
      <c r="F40" s="19">
        <v>19920</v>
      </c>
    </row>
    <row r="41" spans="1:6" x14ac:dyDescent="0.25">
      <c r="A41" s="30" t="s">
        <v>42</v>
      </c>
      <c r="B41" s="21">
        <v>23676</v>
      </c>
      <c r="C41" s="19">
        <v>39433.56</v>
      </c>
      <c r="D41" s="19">
        <v>40000</v>
      </c>
      <c r="E41" s="19">
        <v>32993</v>
      </c>
      <c r="F41" s="19">
        <v>40000</v>
      </c>
    </row>
    <row r="42" spans="1:6" x14ac:dyDescent="0.25">
      <c r="A42" s="14" t="s">
        <v>43</v>
      </c>
      <c r="B42" s="21">
        <v>0</v>
      </c>
      <c r="C42" s="19"/>
      <c r="D42" s="19"/>
      <c r="E42" s="19">
        <v>10052</v>
      </c>
      <c r="F42" s="19"/>
    </row>
    <row r="43" spans="1:6" x14ac:dyDescent="0.25">
      <c r="A43" s="30" t="s">
        <v>44</v>
      </c>
      <c r="B43" s="21">
        <v>49299.14</v>
      </c>
      <c r="C43" s="19">
        <v>37202</v>
      </c>
      <c r="D43" s="19">
        <v>40000</v>
      </c>
      <c r="E43" s="19">
        <v>26037</v>
      </c>
      <c r="F43" s="19">
        <v>20000</v>
      </c>
    </row>
    <row r="44" spans="1:6" x14ac:dyDescent="0.25">
      <c r="A44" s="30" t="s">
        <v>45</v>
      </c>
      <c r="B44" s="21"/>
      <c r="C44" s="19"/>
      <c r="D44" s="19"/>
      <c r="E44" s="19"/>
      <c r="F44" s="19">
        <v>40000</v>
      </c>
    </row>
    <row r="45" spans="1:6" x14ac:dyDescent="0.25">
      <c r="A45" s="30" t="s">
        <v>46</v>
      </c>
      <c r="B45" s="21"/>
      <c r="C45" s="19"/>
      <c r="D45" s="19"/>
      <c r="E45" s="19"/>
      <c r="F45" s="19">
        <v>14500</v>
      </c>
    </row>
    <row r="46" spans="1:6" x14ac:dyDescent="0.25">
      <c r="A46" s="30" t="s">
        <v>47</v>
      </c>
      <c r="B46" s="21"/>
      <c r="C46" s="19"/>
      <c r="D46" s="19"/>
      <c r="E46" s="19"/>
      <c r="F46" s="19">
        <v>2000</v>
      </c>
    </row>
    <row r="47" spans="1:6" x14ac:dyDescent="0.25">
      <c r="A47" s="30" t="s">
        <v>48</v>
      </c>
      <c r="B47" s="21"/>
      <c r="C47" s="19"/>
      <c r="D47" s="19"/>
      <c r="E47" s="19"/>
      <c r="F47" s="19">
        <v>1000</v>
      </c>
    </row>
    <row r="48" spans="1:6" x14ac:dyDescent="0.25">
      <c r="A48" s="30" t="s">
        <v>49</v>
      </c>
      <c r="B48" s="21"/>
      <c r="C48" s="19"/>
      <c r="D48" s="19"/>
      <c r="E48" s="19"/>
      <c r="F48" s="19">
        <v>500</v>
      </c>
    </row>
    <row r="49" spans="1:6" x14ac:dyDescent="0.25">
      <c r="A49" s="30" t="s">
        <v>50</v>
      </c>
      <c r="B49" s="21">
        <v>2079.3200000000002</v>
      </c>
      <c r="C49" s="19">
        <v>1872.02</v>
      </c>
      <c r="D49" s="19">
        <v>2000</v>
      </c>
      <c r="E49" s="19">
        <v>1569</v>
      </c>
      <c r="F49" s="19">
        <v>1500</v>
      </c>
    </row>
    <row r="50" spans="1:6" x14ac:dyDescent="0.25">
      <c r="A50" s="14" t="s">
        <v>51</v>
      </c>
      <c r="B50" s="21">
        <v>15728.2</v>
      </c>
      <c r="C50" s="19">
        <v>14867.9</v>
      </c>
      <c r="D50" s="19">
        <v>15000</v>
      </c>
      <c r="E50" s="19">
        <v>12779</v>
      </c>
      <c r="F50" s="19">
        <v>15000</v>
      </c>
    </row>
    <row r="51" spans="1:6" x14ac:dyDescent="0.25">
      <c r="A51" s="14" t="s">
        <v>52</v>
      </c>
      <c r="B51" s="21"/>
      <c r="C51" s="19">
        <v>8953.23</v>
      </c>
      <c r="D51" s="19"/>
      <c r="E51" s="19">
        <v>3660</v>
      </c>
      <c r="F51" s="19"/>
    </row>
    <row r="52" spans="1:6" x14ac:dyDescent="0.25">
      <c r="A52" s="14" t="s">
        <v>53</v>
      </c>
      <c r="B52" s="21"/>
      <c r="C52" s="19"/>
      <c r="D52" s="19">
        <v>5400</v>
      </c>
      <c r="E52" s="19">
        <v>2700</v>
      </c>
      <c r="F52" s="19"/>
    </row>
    <row r="53" spans="1:6" x14ac:dyDescent="0.25">
      <c r="A53" s="14" t="s">
        <v>54</v>
      </c>
      <c r="B53" s="21">
        <v>1383</v>
      </c>
      <c r="C53" s="19">
        <v>817.91</v>
      </c>
      <c r="D53" s="19"/>
      <c r="E53" s="19">
        <v>178</v>
      </c>
      <c r="F53" s="19"/>
    </row>
    <row r="54" spans="1:6" x14ac:dyDescent="0.25">
      <c r="A54" s="14" t="s">
        <v>55</v>
      </c>
      <c r="B54" s="15">
        <v>796.39</v>
      </c>
      <c r="C54" s="15">
        <v>732.72</v>
      </c>
      <c r="D54" s="15">
        <v>800</v>
      </c>
      <c r="E54" s="15">
        <v>651</v>
      </c>
      <c r="F54" s="15">
        <v>800</v>
      </c>
    </row>
    <row r="55" spans="1:6" x14ac:dyDescent="0.25">
      <c r="A55" s="16" t="s">
        <v>56</v>
      </c>
      <c r="B55" s="17">
        <f>SUM(B56:B64)</f>
        <v>263358.62</v>
      </c>
      <c r="C55" s="13">
        <f>SUM(C56:C64)</f>
        <v>305447.13</v>
      </c>
      <c r="D55" s="13">
        <f>SUM(D56:D64)</f>
        <v>275688</v>
      </c>
      <c r="E55" s="13">
        <v>303137</v>
      </c>
      <c r="F55" s="12">
        <f>SUM(F56:F64)</f>
        <v>317190</v>
      </c>
    </row>
    <row r="56" spans="1:6" x14ac:dyDescent="0.25">
      <c r="A56" s="14" t="s">
        <v>56</v>
      </c>
      <c r="B56" s="21">
        <v>34966.78</v>
      </c>
      <c r="C56" s="19">
        <v>49823.98</v>
      </c>
      <c r="D56" s="19">
        <v>50000</v>
      </c>
      <c r="E56" s="19">
        <v>76101</v>
      </c>
      <c r="F56" s="19">
        <v>50000</v>
      </c>
    </row>
    <row r="57" spans="1:6" x14ac:dyDescent="0.25">
      <c r="A57" s="14" t="s">
        <v>57</v>
      </c>
      <c r="B57" s="21"/>
      <c r="C57" s="19"/>
      <c r="D57" s="19">
        <v>7000</v>
      </c>
      <c r="E57" s="19"/>
      <c r="F57" s="19">
        <v>7000</v>
      </c>
    </row>
    <row r="58" spans="1:6" x14ac:dyDescent="0.25">
      <c r="A58" s="14" t="s">
        <v>58</v>
      </c>
      <c r="B58" s="21">
        <v>99.79</v>
      </c>
      <c r="C58" s="19">
        <v>110.39</v>
      </c>
      <c r="D58" s="19"/>
      <c r="E58" s="19">
        <v>1744</v>
      </c>
      <c r="F58" s="19">
        <v>100</v>
      </c>
    </row>
    <row r="59" spans="1:6" x14ac:dyDescent="0.25">
      <c r="A59" s="14" t="s">
        <v>59</v>
      </c>
      <c r="B59" s="21">
        <v>48.97</v>
      </c>
      <c r="C59" s="19">
        <v>9213.81</v>
      </c>
      <c r="D59" s="19">
        <v>5000</v>
      </c>
      <c r="E59" s="19">
        <v>34105</v>
      </c>
      <c r="F59" s="19">
        <v>5000</v>
      </c>
    </row>
    <row r="60" spans="1:6" x14ac:dyDescent="0.25">
      <c r="A60" s="14" t="s">
        <v>60</v>
      </c>
      <c r="B60" s="21">
        <v>10669.08</v>
      </c>
      <c r="C60" s="19">
        <v>5560.16</v>
      </c>
      <c r="D60" s="19"/>
      <c r="E60" s="19"/>
      <c r="F60" s="19"/>
    </row>
    <row r="61" spans="1:6" x14ac:dyDescent="0.25">
      <c r="A61" s="14" t="s">
        <v>61</v>
      </c>
      <c r="B61" s="21">
        <v>7770.01</v>
      </c>
      <c r="C61" s="19">
        <v>12982.13</v>
      </c>
      <c r="D61" s="19">
        <v>11000</v>
      </c>
      <c r="E61" s="19">
        <v>9012</v>
      </c>
      <c r="F61" s="19">
        <v>11000</v>
      </c>
    </row>
    <row r="62" spans="1:6" x14ac:dyDescent="0.25">
      <c r="A62" s="14" t="s">
        <v>62</v>
      </c>
      <c r="B62" s="21">
        <v>315.70999999999998</v>
      </c>
      <c r="C62" s="19">
        <v>458.6</v>
      </c>
      <c r="D62" s="19">
        <v>500</v>
      </c>
      <c r="E62" s="19">
        <v>351</v>
      </c>
      <c r="F62" s="19">
        <v>500</v>
      </c>
    </row>
    <row r="63" spans="1:6" x14ac:dyDescent="0.25">
      <c r="A63" s="14" t="s">
        <v>63</v>
      </c>
      <c r="B63" s="21">
        <v>207878.28</v>
      </c>
      <c r="C63" s="19">
        <v>225688.06</v>
      </c>
      <c r="D63" s="19">
        <v>200578</v>
      </c>
      <c r="E63" s="19">
        <v>181824</v>
      </c>
      <c r="F63" s="19">
        <v>243590</v>
      </c>
    </row>
    <row r="64" spans="1:6" x14ac:dyDescent="0.25">
      <c r="A64" s="14" t="s">
        <v>64</v>
      </c>
      <c r="B64" s="22">
        <v>1610</v>
      </c>
      <c r="C64" s="15">
        <v>1610</v>
      </c>
      <c r="D64" s="15">
        <v>1610</v>
      </c>
      <c r="E64" s="15"/>
      <c r="F64" s="15" t="s">
        <v>65</v>
      </c>
    </row>
    <row r="65" spans="1:6" x14ac:dyDescent="0.25">
      <c r="A65" s="31" t="s">
        <v>66</v>
      </c>
      <c r="B65" s="17">
        <f>SUM(B66:B111)</f>
        <v>3256396.7200000007</v>
      </c>
      <c r="C65" s="32">
        <f>SUM(C66:C111)</f>
        <v>3031887.91</v>
      </c>
      <c r="D65" s="32">
        <f>SUM(D66:D111)</f>
        <v>3314507</v>
      </c>
      <c r="E65" s="13">
        <v>3124678</v>
      </c>
      <c r="F65" s="12">
        <f>SUM(F66:F111)</f>
        <v>3356665</v>
      </c>
    </row>
    <row r="66" spans="1:6" x14ac:dyDescent="0.25">
      <c r="A66" s="14" t="s">
        <v>67</v>
      </c>
      <c r="B66" s="21">
        <v>3100</v>
      </c>
      <c r="C66" s="19"/>
      <c r="D66" s="21"/>
      <c r="E66" s="21"/>
      <c r="F66" s="27"/>
    </row>
    <row r="67" spans="1:6" x14ac:dyDescent="0.25">
      <c r="A67" s="14" t="s">
        <v>68</v>
      </c>
      <c r="B67" s="21">
        <v>12700.87</v>
      </c>
      <c r="C67" s="19">
        <v>9297.18</v>
      </c>
      <c r="D67" s="21"/>
      <c r="E67" s="21">
        <v>15716</v>
      </c>
      <c r="F67" s="27">
        <v>17715</v>
      </c>
    </row>
    <row r="68" spans="1:6" x14ac:dyDescent="0.25">
      <c r="A68" s="14" t="s">
        <v>69</v>
      </c>
      <c r="B68" s="21"/>
      <c r="C68" s="19">
        <v>35</v>
      </c>
      <c r="D68" s="21"/>
      <c r="E68" s="21">
        <v>213</v>
      </c>
      <c r="F68" s="27"/>
    </row>
    <row r="69" spans="1:6" x14ac:dyDescent="0.25">
      <c r="A69" s="14" t="s">
        <v>70</v>
      </c>
      <c r="B69" s="21">
        <v>1100</v>
      </c>
      <c r="C69" s="19"/>
      <c r="D69" s="21"/>
      <c r="E69" s="21"/>
      <c r="F69" s="27"/>
    </row>
    <row r="70" spans="1:6" x14ac:dyDescent="0.25">
      <c r="A70" s="14" t="s">
        <v>71</v>
      </c>
      <c r="B70" s="21">
        <v>5000</v>
      </c>
      <c r="C70" s="19"/>
      <c r="D70" s="21"/>
      <c r="E70" s="21"/>
      <c r="F70" s="27"/>
    </row>
    <row r="71" spans="1:6" x14ac:dyDescent="0.25">
      <c r="A71" s="14" t="s">
        <v>72</v>
      </c>
      <c r="B71" s="21">
        <v>2410</v>
      </c>
      <c r="C71" s="19">
        <v>986</v>
      </c>
      <c r="D71" s="21"/>
      <c r="E71" s="21">
        <v>886</v>
      </c>
      <c r="F71" s="27"/>
    </row>
    <row r="72" spans="1:6" x14ac:dyDescent="0.25">
      <c r="A72" s="14" t="s">
        <v>73</v>
      </c>
      <c r="B72" s="21"/>
      <c r="C72" s="19">
        <v>1000</v>
      </c>
      <c r="D72" s="21"/>
      <c r="E72" s="21"/>
      <c r="F72" s="27"/>
    </row>
    <row r="73" spans="1:6" x14ac:dyDescent="0.25">
      <c r="A73" s="14" t="s">
        <v>74</v>
      </c>
      <c r="B73" s="21"/>
      <c r="C73" s="19"/>
      <c r="D73" s="21">
        <v>7875</v>
      </c>
      <c r="E73" s="21">
        <v>7875</v>
      </c>
      <c r="F73" s="27"/>
    </row>
    <row r="74" spans="1:6" x14ac:dyDescent="0.25">
      <c r="A74" s="14" t="s">
        <v>75</v>
      </c>
      <c r="B74" s="21"/>
      <c r="C74" s="19">
        <v>11307.95</v>
      </c>
      <c r="D74" s="21"/>
      <c r="E74" s="21"/>
      <c r="F74" s="27"/>
    </row>
    <row r="75" spans="1:6" x14ac:dyDescent="0.25">
      <c r="A75" s="14" t="s">
        <v>76</v>
      </c>
      <c r="B75" s="21"/>
      <c r="C75" s="19">
        <v>1900</v>
      </c>
      <c r="D75" s="21">
        <v>248090</v>
      </c>
      <c r="E75" s="21"/>
      <c r="F75" s="27">
        <v>136120</v>
      </c>
    </row>
    <row r="76" spans="1:6" x14ac:dyDescent="0.25">
      <c r="A76" s="14" t="s">
        <v>77</v>
      </c>
      <c r="B76" s="21"/>
      <c r="C76" s="19"/>
      <c r="D76" s="21"/>
      <c r="E76" s="21"/>
      <c r="F76" s="33">
        <v>177690</v>
      </c>
    </row>
    <row r="77" spans="1:6" x14ac:dyDescent="0.25">
      <c r="A77" s="14" t="s">
        <v>78</v>
      </c>
      <c r="B77" s="21"/>
      <c r="C77" s="19">
        <v>200</v>
      </c>
      <c r="D77" s="21"/>
      <c r="E77" s="21">
        <v>40</v>
      </c>
      <c r="F77" s="27"/>
    </row>
    <row r="78" spans="1:6" x14ac:dyDescent="0.25">
      <c r="A78" s="14" t="s">
        <v>79</v>
      </c>
      <c r="B78" s="21"/>
      <c r="C78" s="19">
        <v>10000</v>
      </c>
      <c r="D78" s="21">
        <v>10000</v>
      </c>
      <c r="E78" s="21"/>
      <c r="F78" s="27"/>
    </row>
    <row r="79" spans="1:6" x14ac:dyDescent="0.25">
      <c r="A79" s="14" t="s">
        <v>388</v>
      </c>
      <c r="B79" s="21"/>
      <c r="C79" s="19"/>
      <c r="D79" s="21"/>
      <c r="E79" s="21">
        <v>2500</v>
      </c>
      <c r="F79" s="27"/>
    </row>
    <row r="80" spans="1:6" x14ac:dyDescent="0.25">
      <c r="A80" s="14" t="s">
        <v>80</v>
      </c>
      <c r="B80" s="21"/>
      <c r="C80" s="19"/>
      <c r="D80" s="21"/>
      <c r="E80" s="21">
        <v>3619</v>
      </c>
      <c r="F80" s="27">
        <v>3000</v>
      </c>
    </row>
    <row r="81" spans="1:6" x14ac:dyDescent="0.25">
      <c r="A81" s="14" t="s">
        <v>81</v>
      </c>
      <c r="B81" s="21"/>
      <c r="C81" s="19">
        <v>36247</v>
      </c>
      <c r="D81" s="21">
        <v>168060</v>
      </c>
      <c r="E81" s="21">
        <v>168060</v>
      </c>
      <c r="F81" s="19">
        <v>155440</v>
      </c>
    </row>
    <row r="82" spans="1:6" x14ac:dyDescent="0.25">
      <c r="A82" s="14" t="s">
        <v>82</v>
      </c>
      <c r="B82" s="21">
        <v>356253</v>
      </c>
      <c r="C82" s="19">
        <v>6668</v>
      </c>
      <c r="D82" s="21"/>
      <c r="E82" s="21"/>
      <c r="F82" s="34"/>
    </row>
    <row r="83" spans="1:6" x14ac:dyDescent="0.25">
      <c r="A83" s="14" t="s">
        <v>83</v>
      </c>
      <c r="B83" s="21">
        <v>13436.38</v>
      </c>
      <c r="C83" s="19">
        <v>12960.64</v>
      </c>
      <c r="D83" s="21">
        <v>12985</v>
      </c>
      <c r="E83" s="21">
        <v>12983</v>
      </c>
      <c r="F83" s="19">
        <v>13161</v>
      </c>
    </row>
    <row r="84" spans="1:6" x14ac:dyDescent="0.25">
      <c r="A84" s="30" t="s">
        <v>84</v>
      </c>
      <c r="B84" s="21">
        <v>2558685</v>
      </c>
      <c r="C84" s="19">
        <v>2527802</v>
      </c>
      <c r="D84" s="21">
        <v>2579140</v>
      </c>
      <c r="E84" s="21">
        <v>2596710</v>
      </c>
      <c r="F84" s="19">
        <v>2563711</v>
      </c>
    </row>
    <row r="85" spans="1:6" x14ac:dyDescent="0.25">
      <c r="A85" s="30" t="s">
        <v>85</v>
      </c>
      <c r="B85" s="21">
        <v>16643.39</v>
      </c>
      <c r="C85" s="19">
        <v>22041.919999999998</v>
      </c>
      <c r="D85" s="21">
        <v>21000</v>
      </c>
      <c r="E85" s="21">
        <v>21990</v>
      </c>
      <c r="F85" s="19">
        <v>21799</v>
      </c>
    </row>
    <row r="86" spans="1:6" x14ac:dyDescent="0.25">
      <c r="A86" s="30" t="s">
        <v>86</v>
      </c>
      <c r="B86" s="21">
        <v>11180.47</v>
      </c>
      <c r="C86" s="19">
        <v>11542.52</v>
      </c>
      <c r="D86" s="21">
        <v>11535</v>
      </c>
      <c r="E86" s="21">
        <v>11535</v>
      </c>
      <c r="F86" s="19">
        <v>11398</v>
      </c>
    </row>
    <row r="87" spans="1:6" x14ac:dyDescent="0.25">
      <c r="A87" s="30" t="s">
        <v>87</v>
      </c>
      <c r="B87" s="21">
        <v>1233.17</v>
      </c>
      <c r="C87" s="19">
        <v>1255.31</v>
      </c>
      <c r="D87" s="21">
        <v>1260</v>
      </c>
      <c r="E87" s="21">
        <v>1254</v>
      </c>
      <c r="F87" s="19">
        <v>1260</v>
      </c>
    </row>
    <row r="88" spans="1:6" x14ac:dyDescent="0.25">
      <c r="A88" s="30" t="s">
        <v>88</v>
      </c>
      <c r="B88" s="21">
        <v>2312.79</v>
      </c>
      <c r="C88" s="19">
        <v>2229.56</v>
      </c>
      <c r="D88" s="21">
        <v>2110</v>
      </c>
      <c r="E88" s="21">
        <v>2109</v>
      </c>
      <c r="F88" s="19">
        <v>2110</v>
      </c>
    </row>
    <row r="89" spans="1:6" x14ac:dyDescent="0.25">
      <c r="A89" s="30" t="s">
        <v>89</v>
      </c>
      <c r="B89" s="21">
        <v>7883.7</v>
      </c>
      <c r="C89" s="19">
        <v>7821.33</v>
      </c>
      <c r="D89" s="21">
        <v>7805</v>
      </c>
      <c r="E89" s="21">
        <v>7803</v>
      </c>
      <c r="F89" s="19">
        <v>7805</v>
      </c>
    </row>
    <row r="90" spans="1:6" x14ac:dyDescent="0.25">
      <c r="A90" s="30" t="s">
        <v>90</v>
      </c>
      <c r="B90" s="21">
        <v>37342</v>
      </c>
      <c r="C90" s="19">
        <v>38135</v>
      </c>
      <c r="D90" s="21">
        <v>39100</v>
      </c>
      <c r="E90" s="21">
        <v>22017</v>
      </c>
      <c r="F90" s="19">
        <v>39100</v>
      </c>
    </row>
    <row r="91" spans="1:6" x14ac:dyDescent="0.25">
      <c r="A91" s="30" t="s">
        <v>91</v>
      </c>
      <c r="B91" s="35">
        <v>132187.64000000001</v>
      </c>
      <c r="C91" s="19">
        <v>158161.88</v>
      </c>
      <c r="D91" s="21">
        <v>150547</v>
      </c>
      <c r="E91" s="21">
        <v>156103</v>
      </c>
      <c r="F91" s="19">
        <v>150056</v>
      </c>
    </row>
    <row r="92" spans="1:6" x14ac:dyDescent="0.25">
      <c r="A92" s="30" t="s">
        <v>92</v>
      </c>
      <c r="B92" s="21">
        <v>9036.5300000000007</v>
      </c>
      <c r="C92" s="19">
        <v>8376.73</v>
      </c>
      <c r="D92" s="21">
        <v>10000</v>
      </c>
      <c r="E92" s="21">
        <v>4645</v>
      </c>
      <c r="F92" s="19">
        <v>10000</v>
      </c>
    </row>
    <row r="93" spans="1:6" x14ac:dyDescent="0.25">
      <c r="A93" s="30" t="s">
        <v>93</v>
      </c>
      <c r="B93" s="21"/>
      <c r="C93" s="19">
        <v>288</v>
      </c>
      <c r="D93" s="21"/>
      <c r="E93" s="21">
        <v>598</v>
      </c>
      <c r="F93" s="19">
        <v>50</v>
      </c>
    </row>
    <row r="94" spans="1:6" x14ac:dyDescent="0.25">
      <c r="A94" s="30" t="s">
        <v>94</v>
      </c>
      <c r="B94" s="21"/>
      <c r="C94" s="19"/>
      <c r="D94" s="21"/>
      <c r="E94" s="21"/>
      <c r="F94" s="19">
        <v>250</v>
      </c>
    </row>
    <row r="95" spans="1:6" x14ac:dyDescent="0.25">
      <c r="A95" s="30" t="s">
        <v>95</v>
      </c>
      <c r="B95" s="21">
        <v>23900.27</v>
      </c>
      <c r="C95" s="19">
        <v>40280.629999999997</v>
      </c>
      <c r="D95" s="21">
        <v>35000</v>
      </c>
      <c r="E95" s="21">
        <v>38320</v>
      </c>
      <c r="F95" s="19">
        <v>35000</v>
      </c>
    </row>
    <row r="96" spans="1:6" x14ac:dyDescent="0.25">
      <c r="A96" s="30" t="s">
        <v>96</v>
      </c>
      <c r="B96" s="21">
        <v>3292.56</v>
      </c>
      <c r="C96" s="19">
        <v>76749.22</v>
      </c>
      <c r="D96" s="21"/>
      <c r="E96" s="21">
        <v>2569</v>
      </c>
      <c r="F96" s="19"/>
    </row>
    <row r="97" spans="1:6" x14ac:dyDescent="0.25">
      <c r="A97" s="30" t="s">
        <v>97</v>
      </c>
      <c r="B97" s="21">
        <v>13292</v>
      </c>
      <c r="C97" s="19"/>
      <c r="D97" s="21"/>
      <c r="E97" s="21"/>
      <c r="F97" s="19"/>
    </row>
    <row r="98" spans="1:6" x14ac:dyDescent="0.25">
      <c r="A98" s="30" t="s">
        <v>98</v>
      </c>
      <c r="B98" s="21"/>
      <c r="C98" s="19"/>
      <c r="D98" s="21"/>
      <c r="E98" s="21">
        <v>238</v>
      </c>
      <c r="F98" s="19"/>
    </row>
    <row r="99" spans="1:6" x14ac:dyDescent="0.25">
      <c r="A99" s="30" t="s">
        <v>99</v>
      </c>
      <c r="B99" s="21">
        <v>29311.43</v>
      </c>
      <c r="C99" s="19">
        <v>27202.04</v>
      </c>
      <c r="D99" s="21"/>
      <c r="E99" s="21">
        <v>15664</v>
      </c>
      <c r="F99" s="19"/>
    </row>
    <row r="100" spans="1:6" x14ac:dyDescent="0.25">
      <c r="A100" s="30" t="s">
        <v>100</v>
      </c>
      <c r="B100" s="21">
        <v>9295.52</v>
      </c>
      <c r="C100" s="19">
        <v>10000</v>
      </c>
      <c r="D100" s="21">
        <v>9000</v>
      </c>
      <c r="E100" s="21">
        <v>11500</v>
      </c>
      <c r="F100" s="19">
        <v>11000</v>
      </c>
    </row>
    <row r="101" spans="1:6" x14ac:dyDescent="0.25">
      <c r="A101" s="30" t="s">
        <v>385</v>
      </c>
      <c r="B101" s="21"/>
      <c r="C101" s="19"/>
      <c r="D101" s="21">
        <v>1000</v>
      </c>
      <c r="E101" s="21">
        <v>1000</v>
      </c>
      <c r="F101" s="19"/>
    </row>
    <row r="102" spans="1:6" x14ac:dyDescent="0.25">
      <c r="A102" s="30" t="s">
        <v>101</v>
      </c>
      <c r="B102" s="21">
        <v>2000</v>
      </c>
      <c r="C102" s="19"/>
      <c r="D102" s="21"/>
      <c r="E102" s="21"/>
      <c r="F102" s="19"/>
    </row>
    <row r="103" spans="1:6" x14ac:dyDescent="0.25">
      <c r="A103" s="30" t="s">
        <v>102</v>
      </c>
      <c r="B103" s="21"/>
      <c r="C103" s="19">
        <v>800</v>
      </c>
      <c r="D103" s="21"/>
      <c r="E103" s="21"/>
      <c r="F103" s="19"/>
    </row>
    <row r="104" spans="1:6" x14ac:dyDescent="0.25">
      <c r="A104" s="30" t="s">
        <v>103</v>
      </c>
      <c r="B104" s="21"/>
      <c r="C104" s="19">
        <v>700</v>
      </c>
      <c r="D104" s="21"/>
      <c r="E104" s="21">
        <v>430</v>
      </c>
      <c r="F104" s="19"/>
    </row>
    <row r="105" spans="1:6" x14ac:dyDescent="0.25">
      <c r="A105" s="30" t="s">
        <v>104</v>
      </c>
      <c r="B105" s="21">
        <v>3500</v>
      </c>
      <c r="C105" s="19">
        <v>2900</v>
      </c>
      <c r="D105" s="21"/>
      <c r="E105" s="21">
        <v>4500</v>
      </c>
      <c r="F105" s="19"/>
    </row>
    <row r="106" spans="1:6" x14ac:dyDescent="0.25">
      <c r="A106" s="30" t="s">
        <v>105</v>
      </c>
      <c r="B106" s="21">
        <v>400</v>
      </c>
      <c r="C106" s="19"/>
      <c r="D106" s="21"/>
      <c r="E106" s="21">
        <v>800</v>
      </c>
      <c r="F106" s="19"/>
    </row>
    <row r="107" spans="1:6" x14ac:dyDescent="0.25">
      <c r="A107" s="30" t="s">
        <v>106</v>
      </c>
      <c r="B107" s="21">
        <v>100</v>
      </c>
      <c r="C107" s="19"/>
      <c r="D107" s="21"/>
      <c r="E107" s="21"/>
      <c r="F107" s="19"/>
    </row>
    <row r="108" spans="1:6" x14ac:dyDescent="0.25">
      <c r="A108" s="30" t="s">
        <v>107</v>
      </c>
      <c r="B108" s="21">
        <v>400</v>
      </c>
      <c r="C108" s="19"/>
      <c r="D108" s="21"/>
      <c r="E108" s="21"/>
      <c r="F108" s="19"/>
    </row>
    <row r="109" spans="1:6" x14ac:dyDescent="0.25">
      <c r="A109" s="30" t="s">
        <v>108</v>
      </c>
      <c r="B109" s="21">
        <v>400</v>
      </c>
      <c r="C109" s="19"/>
      <c r="D109" s="21"/>
      <c r="E109" s="21"/>
      <c r="F109" s="19"/>
    </row>
    <row r="110" spans="1:6" x14ac:dyDescent="0.25">
      <c r="A110" s="30" t="s">
        <v>389</v>
      </c>
      <c r="B110" s="21"/>
      <c r="C110" s="19"/>
      <c r="D110" s="21"/>
      <c r="E110" s="21">
        <v>13000</v>
      </c>
      <c r="F110" s="19"/>
    </row>
    <row r="111" spans="1:6" ht="15.75" thickBot="1" x14ac:dyDescent="0.3">
      <c r="A111" s="36" t="s">
        <v>109</v>
      </c>
      <c r="B111" s="37"/>
      <c r="C111" s="38">
        <v>5000</v>
      </c>
      <c r="D111" s="37"/>
      <c r="E111" s="37"/>
      <c r="F111" s="38"/>
    </row>
    <row r="112" spans="1:6" ht="16.5" thickBot="1" x14ac:dyDescent="0.3">
      <c r="A112" s="5" t="s">
        <v>110</v>
      </c>
      <c r="B112" s="6">
        <f>B113+B118</f>
        <v>761844.80999999994</v>
      </c>
      <c r="C112" s="7">
        <f>C113+C118</f>
        <v>828632.72</v>
      </c>
      <c r="D112" s="7">
        <f>D113+D118</f>
        <v>3640369</v>
      </c>
      <c r="E112" s="7">
        <v>735941</v>
      </c>
      <c r="F112" s="7">
        <f>F113+F118</f>
        <v>4291701</v>
      </c>
    </row>
    <row r="113" spans="1:7" x14ac:dyDescent="0.25">
      <c r="A113" s="39" t="s">
        <v>111</v>
      </c>
      <c r="B113" s="10">
        <f>SUM(B114:B117)</f>
        <v>761844.80999999994</v>
      </c>
      <c r="C113" s="10">
        <f>SUM(C114:C117)</f>
        <v>407077.83</v>
      </c>
      <c r="D113" s="10">
        <f>SUM(D114:D117)</f>
        <v>806230</v>
      </c>
      <c r="E113" s="10">
        <v>373344</v>
      </c>
      <c r="F113" s="10">
        <f>SUM(F114:F117)</f>
        <v>678900</v>
      </c>
    </row>
    <row r="114" spans="1:7" x14ac:dyDescent="0.25">
      <c r="A114" s="14" t="s">
        <v>112</v>
      </c>
      <c r="B114" s="21">
        <v>436897.41</v>
      </c>
      <c r="C114" s="19">
        <v>268273.05</v>
      </c>
      <c r="D114" s="19">
        <v>198038</v>
      </c>
      <c r="E114" s="19">
        <v>162074</v>
      </c>
      <c r="F114" s="19">
        <v>160000</v>
      </c>
    </row>
    <row r="115" spans="1:7" x14ac:dyDescent="0.25">
      <c r="A115" s="30" t="s">
        <v>113</v>
      </c>
      <c r="B115" s="21">
        <v>9322.5400000000009</v>
      </c>
      <c r="C115" s="19">
        <v>24756.65</v>
      </c>
      <c r="D115" s="19">
        <v>39700</v>
      </c>
      <c r="E115" s="19">
        <v>39820</v>
      </c>
      <c r="F115" s="19">
        <v>30000</v>
      </c>
    </row>
    <row r="116" spans="1:7" x14ac:dyDescent="0.25">
      <c r="A116" s="30" t="s">
        <v>114</v>
      </c>
      <c r="B116" s="21"/>
      <c r="C116" s="19"/>
      <c r="D116" s="19">
        <v>5000</v>
      </c>
      <c r="E116" s="19">
        <v>4644</v>
      </c>
      <c r="F116" s="19"/>
    </row>
    <row r="117" spans="1:7" x14ac:dyDescent="0.25">
      <c r="A117" s="40" t="s">
        <v>115</v>
      </c>
      <c r="B117" s="22">
        <v>315624.86</v>
      </c>
      <c r="C117" s="15">
        <v>114048.13</v>
      </c>
      <c r="D117" s="15">
        <v>563492</v>
      </c>
      <c r="E117" s="15">
        <v>166805</v>
      </c>
      <c r="F117" s="15">
        <v>488900</v>
      </c>
      <c r="G117" s="126"/>
    </row>
    <row r="118" spans="1:7" x14ac:dyDescent="0.25">
      <c r="A118" s="41" t="s">
        <v>116</v>
      </c>
      <c r="B118" s="42">
        <f>SUM(B119:B128)</f>
        <v>0</v>
      </c>
      <c r="C118" s="42">
        <f>SUM(C119:C128)</f>
        <v>421554.89</v>
      </c>
      <c r="D118" s="42">
        <f>SUM(D119:D128)</f>
        <v>2834139</v>
      </c>
      <c r="E118" s="42">
        <v>362597</v>
      </c>
      <c r="F118" s="42">
        <f>SUM(F119:F128)</f>
        <v>3612801</v>
      </c>
    </row>
    <row r="119" spans="1:7" x14ac:dyDescent="0.25">
      <c r="A119" s="14" t="s">
        <v>117</v>
      </c>
      <c r="B119" s="21"/>
      <c r="C119" s="19">
        <v>13200</v>
      </c>
      <c r="D119" s="21"/>
      <c r="E119" s="21"/>
      <c r="F119" s="19"/>
    </row>
    <row r="120" spans="1:7" x14ac:dyDescent="0.25">
      <c r="A120" s="14" t="s">
        <v>118</v>
      </c>
      <c r="B120" s="21"/>
      <c r="C120" s="19">
        <v>218060.65</v>
      </c>
      <c r="D120" s="21"/>
      <c r="E120" s="21"/>
      <c r="F120" s="19"/>
    </row>
    <row r="121" spans="1:7" x14ac:dyDescent="0.25">
      <c r="A121" s="14" t="s">
        <v>119</v>
      </c>
      <c r="B121" s="21"/>
      <c r="C121" s="19"/>
      <c r="D121" s="21">
        <v>9000</v>
      </c>
      <c r="E121" s="21">
        <v>9000</v>
      </c>
      <c r="F121" s="19"/>
    </row>
    <row r="122" spans="1:7" x14ac:dyDescent="0.25">
      <c r="A122" s="14" t="s">
        <v>120</v>
      </c>
      <c r="B122" s="21"/>
      <c r="C122" s="19"/>
      <c r="D122" s="19">
        <v>30000</v>
      </c>
      <c r="E122" s="19">
        <v>27000</v>
      </c>
      <c r="F122" s="19"/>
    </row>
    <row r="123" spans="1:7" x14ac:dyDescent="0.25">
      <c r="A123" s="14" t="s">
        <v>121</v>
      </c>
      <c r="B123" s="21"/>
      <c r="C123" s="19"/>
      <c r="D123" s="21">
        <v>19950</v>
      </c>
      <c r="E123" s="21">
        <v>19924</v>
      </c>
      <c r="F123" s="19"/>
    </row>
    <row r="124" spans="1:7" x14ac:dyDescent="0.25">
      <c r="A124" s="14" t="s">
        <v>122</v>
      </c>
      <c r="B124" s="21"/>
      <c r="C124" s="19"/>
      <c r="D124" s="19">
        <v>306673</v>
      </c>
      <c r="E124" s="19">
        <v>306673</v>
      </c>
      <c r="F124" s="19"/>
    </row>
    <row r="125" spans="1:7" x14ac:dyDescent="0.25">
      <c r="A125" s="14" t="s">
        <v>123</v>
      </c>
      <c r="B125" s="21"/>
      <c r="C125" s="19"/>
      <c r="D125" s="19">
        <v>394135</v>
      </c>
      <c r="E125" s="19"/>
      <c r="F125" s="29">
        <v>771232</v>
      </c>
    </row>
    <row r="126" spans="1:7" x14ac:dyDescent="0.25">
      <c r="A126" s="14" t="s">
        <v>124</v>
      </c>
      <c r="B126" s="21"/>
      <c r="C126" s="19">
        <v>190294.24</v>
      </c>
      <c r="D126" s="19">
        <v>1048711</v>
      </c>
      <c r="E126" s="19"/>
      <c r="F126" s="29">
        <v>935777</v>
      </c>
      <c r="G126" s="126"/>
    </row>
    <row r="127" spans="1:7" x14ac:dyDescent="0.25">
      <c r="A127" s="14" t="s">
        <v>125</v>
      </c>
      <c r="B127" s="21"/>
      <c r="C127" s="19"/>
      <c r="D127" s="19"/>
      <c r="E127" s="19"/>
      <c r="F127" s="29">
        <v>59593</v>
      </c>
      <c r="G127" s="1"/>
    </row>
    <row r="128" spans="1:7" ht="15.75" thickBot="1" x14ac:dyDescent="0.3">
      <c r="A128" s="14" t="s">
        <v>126</v>
      </c>
      <c r="B128" s="37"/>
      <c r="C128" s="43"/>
      <c r="D128" s="19">
        <v>1025670</v>
      </c>
      <c r="E128" s="19"/>
      <c r="F128" s="29">
        <v>1846199</v>
      </c>
    </row>
    <row r="129" spans="1:7" ht="16.5" thickBot="1" x14ac:dyDescent="0.3">
      <c r="A129" s="44" t="s">
        <v>127</v>
      </c>
      <c r="B129" s="45">
        <f>SUM(B130:B131)</f>
        <v>1094060.6099999999</v>
      </c>
      <c r="C129" s="45">
        <f>SUM(C130:C131)</f>
        <v>353398.41</v>
      </c>
      <c r="D129" s="7">
        <f>SUM(D130:D131)</f>
        <v>574727</v>
      </c>
      <c r="E129" s="7">
        <v>574727</v>
      </c>
      <c r="F129" s="7">
        <f>SUM(F130:F131)</f>
        <v>476000</v>
      </c>
    </row>
    <row r="130" spans="1:7" x14ac:dyDescent="0.25">
      <c r="A130" s="14" t="s">
        <v>128</v>
      </c>
      <c r="B130" s="19">
        <v>277663</v>
      </c>
      <c r="C130" s="19">
        <v>97009.26</v>
      </c>
      <c r="D130" s="19">
        <v>144727</v>
      </c>
      <c r="E130" s="19">
        <v>144727</v>
      </c>
      <c r="F130" s="29">
        <v>76000</v>
      </c>
      <c r="G130" s="126"/>
    </row>
    <row r="131" spans="1:7" ht="15.75" thickBot="1" x14ac:dyDescent="0.3">
      <c r="A131" s="14" t="s">
        <v>129</v>
      </c>
      <c r="B131" s="38">
        <v>816397.61</v>
      </c>
      <c r="C131" s="38">
        <v>256389.15</v>
      </c>
      <c r="D131" s="38">
        <v>430000</v>
      </c>
      <c r="E131" s="38">
        <v>430000</v>
      </c>
      <c r="F131" s="38">
        <v>400000</v>
      </c>
    </row>
    <row r="132" spans="1:7" ht="16.5" thickBot="1" x14ac:dyDescent="0.3">
      <c r="A132" s="46" t="s">
        <v>130</v>
      </c>
      <c r="B132" s="47">
        <f>B112+B3+B129</f>
        <v>12467140.450000001</v>
      </c>
      <c r="C132" s="48">
        <f>C129+C112+C3</f>
        <v>12098829.43</v>
      </c>
      <c r="D132" s="48">
        <f>D3+D112+D129</f>
        <v>15903556</v>
      </c>
      <c r="E132" s="48">
        <v>12503222</v>
      </c>
      <c r="F132" s="48">
        <f>F3+F112+F129</f>
        <v>16458438</v>
      </c>
    </row>
    <row r="133" spans="1:7" x14ac:dyDescent="0.25">
      <c r="A133" s="49"/>
    </row>
  </sheetData>
  <sheetProtection selectLockedCells="1" selectUnlockedCells="1"/>
  <mergeCells count="1">
    <mergeCell ref="A1:F1"/>
  </mergeCells>
  <phoneticPr fontId="0" type="noConversion"/>
  <pageMargins left="0.70833333333333337" right="0.70833333333333337" top="0.74791666666666667" bottom="0.74791666666666667" header="0.51180555555555551" footer="0.51180555555555551"/>
  <pageSetup paperSize="9" scale="66" firstPageNumber="0" fitToHeight="0"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306"/>
  <sheetViews>
    <sheetView topLeftCell="B1" workbookViewId="0">
      <pane xSplit="2" ySplit="9" topLeftCell="J130" activePane="bottomRight" state="frozen"/>
      <selection activeCell="B1" sqref="B1"/>
      <selection pane="topRight" activeCell="L1" sqref="L1"/>
      <selection pane="bottomLeft" activeCell="B157" sqref="B157"/>
      <selection pane="bottomRight" activeCell="R9" sqref="R9"/>
    </sheetView>
  </sheetViews>
  <sheetFormatPr defaultRowHeight="12.75" x14ac:dyDescent="0.2"/>
  <cols>
    <col min="1" max="1" width="0" style="50" hidden="1" customWidth="1"/>
    <col min="2" max="2" width="18.85546875" style="50" customWidth="1"/>
    <col min="3" max="3" width="52.28515625" style="50" customWidth="1"/>
    <col min="4" max="4" width="11.7109375" style="51" customWidth="1"/>
    <col min="5" max="5" width="11.42578125" style="51" customWidth="1"/>
    <col min="6" max="7" width="9.140625" style="50"/>
    <col min="8" max="9" width="10.140625" style="50" customWidth="1"/>
    <col min="10" max="11" width="9.140625" style="50"/>
    <col min="12" max="13" width="12.7109375" style="52" customWidth="1"/>
    <col min="14" max="14" width="11.7109375" style="53" customWidth="1"/>
    <col min="15" max="19" width="10.140625" style="53" customWidth="1"/>
    <col min="20" max="21" width="12.7109375" style="52" customWidth="1"/>
    <col min="22" max="22" width="11.7109375" style="53" customWidth="1"/>
    <col min="23" max="23" width="10.140625" style="53" customWidth="1"/>
    <col min="24" max="16384" width="9.140625" style="50"/>
  </cols>
  <sheetData>
    <row r="1" spans="1:23" x14ac:dyDescent="0.2">
      <c r="A1" s="54"/>
      <c r="E1" s="52"/>
    </row>
    <row r="2" spans="1:23" ht="15.75" x14ac:dyDescent="0.25">
      <c r="A2" s="54"/>
      <c r="B2" s="55"/>
      <c r="D2" s="56"/>
      <c r="E2" s="56"/>
      <c r="F2" s="57"/>
      <c r="L2" s="58"/>
      <c r="M2" s="58"/>
      <c r="N2" s="59"/>
      <c r="O2" s="60"/>
      <c r="P2" s="60"/>
      <c r="Q2" s="60"/>
      <c r="R2" s="60"/>
      <c r="S2" s="60"/>
      <c r="T2" s="58"/>
      <c r="U2" s="58"/>
      <c r="V2" s="59"/>
      <c r="W2" s="60"/>
    </row>
    <row r="3" spans="1:23" ht="18" x14ac:dyDescent="0.25">
      <c r="A3" s="61"/>
      <c r="B3" s="62" t="s">
        <v>131</v>
      </c>
      <c r="C3" s="62"/>
      <c r="D3" s="62"/>
      <c r="E3" s="62"/>
      <c r="L3" s="53"/>
      <c r="M3" s="53"/>
      <c r="T3" s="53"/>
      <c r="U3" s="53"/>
    </row>
    <row r="4" spans="1:23" ht="13.5" thickBot="1" x14ac:dyDescent="0.25">
      <c r="A4" s="61"/>
      <c r="C4" s="63"/>
      <c r="D4" s="52"/>
      <c r="E4" s="52"/>
      <c r="F4" s="53"/>
      <c r="H4" s="53"/>
    </row>
    <row r="5" spans="1:23" ht="13.5" thickBot="1" x14ac:dyDescent="0.25">
      <c r="A5" s="61"/>
      <c r="D5" s="849" t="s">
        <v>132</v>
      </c>
      <c r="E5" s="849"/>
      <c r="F5" s="849"/>
      <c r="G5" s="849"/>
      <c r="H5" s="850" t="s">
        <v>133</v>
      </c>
      <c r="I5" s="850"/>
      <c r="J5" s="850"/>
      <c r="K5" s="850"/>
      <c r="L5" s="844" t="s">
        <v>2</v>
      </c>
      <c r="M5" s="844"/>
      <c r="N5" s="844"/>
      <c r="O5" s="844"/>
      <c r="P5" s="844" t="s">
        <v>391</v>
      </c>
      <c r="Q5" s="844"/>
      <c r="R5" s="844"/>
      <c r="S5" s="844"/>
      <c r="T5" s="844" t="s">
        <v>387</v>
      </c>
      <c r="U5" s="844"/>
      <c r="V5" s="844"/>
      <c r="W5" s="844"/>
    </row>
    <row r="6" spans="1:23" ht="12.75" customHeight="1" thickBot="1" x14ac:dyDescent="0.25">
      <c r="A6" s="61"/>
      <c r="B6" s="846" t="s">
        <v>134</v>
      </c>
      <c r="C6" s="846"/>
      <c r="D6" s="129" t="s">
        <v>135</v>
      </c>
      <c r="E6" s="847" t="s">
        <v>136</v>
      </c>
      <c r="F6" s="847"/>
      <c r="G6" s="847"/>
      <c r="H6" s="129" t="s">
        <v>135</v>
      </c>
      <c r="I6" s="848" t="s">
        <v>137</v>
      </c>
      <c r="J6" s="848"/>
      <c r="K6" s="848"/>
      <c r="L6" s="130" t="s">
        <v>135</v>
      </c>
      <c r="M6" s="845" t="s">
        <v>138</v>
      </c>
      <c r="N6" s="845"/>
      <c r="O6" s="845"/>
      <c r="P6" s="130" t="s">
        <v>135</v>
      </c>
      <c r="Q6" s="845" t="s">
        <v>138</v>
      </c>
      <c r="R6" s="845"/>
      <c r="S6" s="845"/>
      <c r="T6" s="130" t="s">
        <v>135</v>
      </c>
      <c r="U6" s="845" t="s">
        <v>139</v>
      </c>
      <c r="V6" s="845"/>
      <c r="W6" s="845"/>
    </row>
    <row r="7" spans="1:23" ht="24.75" thickBot="1" x14ac:dyDescent="0.25">
      <c r="A7" s="61"/>
      <c r="B7" s="846"/>
      <c r="C7" s="846"/>
      <c r="D7" s="131" t="s">
        <v>140</v>
      </c>
      <c r="E7" s="132" t="s">
        <v>141</v>
      </c>
      <c r="F7" s="133" t="s">
        <v>142</v>
      </c>
      <c r="G7" s="134" t="s">
        <v>143</v>
      </c>
      <c r="H7" s="131" t="s">
        <v>144</v>
      </c>
      <c r="I7" s="132" t="s">
        <v>141</v>
      </c>
      <c r="J7" s="133" t="s">
        <v>142</v>
      </c>
      <c r="K7" s="135" t="s">
        <v>143</v>
      </c>
      <c r="L7" s="136" t="s">
        <v>145</v>
      </c>
      <c r="M7" s="137" t="s">
        <v>141</v>
      </c>
      <c r="N7" s="138" t="s">
        <v>142</v>
      </c>
      <c r="O7" s="139" t="s">
        <v>143</v>
      </c>
      <c r="P7" s="136" t="s">
        <v>145</v>
      </c>
      <c r="Q7" s="137" t="s">
        <v>141</v>
      </c>
      <c r="R7" s="138" t="s">
        <v>142</v>
      </c>
      <c r="S7" s="139" t="s">
        <v>143</v>
      </c>
      <c r="T7" s="136" t="s">
        <v>146</v>
      </c>
      <c r="U7" s="137" t="s">
        <v>141</v>
      </c>
      <c r="V7" s="138" t="s">
        <v>142</v>
      </c>
      <c r="W7" s="139" t="s">
        <v>143</v>
      </c>
    </row>
    <row r="8" spans="1:23" ht="24" customHeight="1" thickBot="1" x14ac:dyDescent="0.25">
      <c r="A8" s="61"/>
      <c r="B8" s="140" t="s">
        <v>147</v>
      </c>
      <c r="C8" s="141"/>
      <c r="D8" s="142" t="e">
        <f>E8+F8+G8</f>
        <v>#REF!</v>
      </c>
      <c r="E8" s="143" t="e">
        <f>E10+E24+E38+E48+E54+E70+E78+E93+E97+E120+E130+E139+E151+E174+E175</f>
        <v>#REF!</v>
      </c>
      <c r="F8" s="143" t="e">
        <f>F10+F24+F38+F48+F54+F70+F78+F93+F97+F120+F130+F139+F151+F174+F175</f>
        <v>#REF!</v>
      </c>
      <c r="G8" s="144" t="e">
        <f>G10+G24+G38+G48+G54+G70+G78+G93+G97+G120+G130+G139+G151+G174+G175</f>
        <v>#REF!</v>
      </c>
      <c r="H8" s="142" t="e">
        <f>I8+J8+K8</f>
        <v>#REF!</v>
      </c>
      <c r="I8" s="143" t="e">
        <f>I10+I24+I38+I48+I54+I70+I78+I93+I97+I120+I130+I139+I151+I174+I175</f>
        <v>#REF!</v>
      </c>
      <c r="J8" s="143" t="e">
        <f>J10+J24+J38+J48+J54+J70+J78+J93+J97+J120+J130+J139+J151+J174+J175</f>
        <v>#REF!</v>
      </c>
      <c r="K8" s="145" t="e">
        <f>K10+K24+K38+K48+K54+K70+K78+K93+K97+K120+K130+K139+K151+K174+K175</f>
        <v>#REF!</v>
      </c>
      <c r="L8" s="146" t="e">
        <f>SUM(M8:O8)</f>
        <v>#REF!</v>
      </c>
      <c r="M8" s="143" t="e">
        <f>M10+M24+M38+M48+M54+M70+M78+M93+M97+M120+M130+M139+M151+M174+M175</f>
        <v>#REF!</v>
      </c>
      <c r="N8" s="143" t="e">
        <f>N10+N24+N38+N48+N54+N70+N78+N93+N97+N120+N130+N139+N151+N174+N175</f>
        <v>#REF!</v>
      </c>
      <c r="O8" s="145" t="e">
        <f>O10+O24+O38+O48+O54+O70+O78+O93+O97+O120+O130+O139+O151+O174+O175</f>
        <v>#REF!</v>
      </c>
      <c r="P8" s="146">
        <v>12339862.450000001</v>
      </c>
      <c r="Q8" s="143">
        <v>10730799.140000001</v>
      </c>
      <c r="R8" s="143">
        <v>957999</v>
      </c>
      <c r="S8" s="145">
        <v>654683.57999999996</v>
      </c>
      <c r="T8" s="146" t="e">
        <f>SUM(U8:W8)</f>
        <v>#REF!</v>
      </c>
      <c r="U8" s="143" t="e">
        <f>U10+U24+U38+U48+U54+U70+U78+U93+U97+U120+U130+U139+U151+U174+U175</f>
        <v>#REF!</v>
      </c>
      <c r="V8" s="143" t="e">
        <f>V10+V24+V38+V48+V54+V70+V78+V93+V97+V120+V130+V139+V151+V174+V175</f>
        <v>#REF!</v>
      </c>
      <c r="W8" s="145" t="e">
        <f>W10+W24+W38+W48+W54+W70+W78+W93+W97+W120+W130+W139+W151+W174+W175</f>
        <v>#REF!</v>
      </c>
    </row>
    <row r="9" spans="1:23" ht="13.5" thickBot="1" x14ac:dyDescent="0.25">
      <c r="A9" s="61"/>
      <c r="B9" s="64" t="s">
        <v>148</v>
      </c>
      <c r="C9" s="65"/>
      <c r="D9" s="66"/>
      <c r="E9" s="67"/>
      <c r="F9" s="68"/>
      <c r="G9" s="67"/>
      <c r="H9" s="67"/>
      <c r="I9" s="67"/>
      <c r="J9" s="67"/>
      <c r="K9" s="67"/>
      <c r="L9" s="66"/>
      <c r="M9" s="69"/>
      <c r="N9" s="68"/>
      <c r="O9" s="69"/>
      <c r="P9" s="248"/>
      <c r="Q9" s="249"/>
      <c r="R9" s="250"/>
      <c r="S9" s="249"/>
      <c r="T9" s="66"/>
      <c r="U9" s="69"/>
      <c r="V9" s="68"/>
      <c r="W9" s="69"/>
    </row>
    <row r="10" spans="1:23" ht="14.25" x14ac:dyDescent="0.2">
      <c r="A10" s="61"/>
      <c r="B10" s="147" t="s">
        <v>149</v>
      </c>
      <c r="C10" s="148"/>
      <c r="D10" s="149">
        <f t="shared" ref="D10:W10" si="0">D11+D16+D20+D21+D22+D23</f>
        <v>249041</v>
      </c>
      <c r="E10" s="150">
        <f t="shared" si="0"/>
        <v>202089</v>
      </c>
      <c r="F10" s="150">
        <f t="shared" si="0"/>
        <v>46952</v>
      </c>
      <c r="G10" s="151">
        <f t="shared" si="0"/>
        <v>0</v>
      </c>
      <c r="H10" s="149">
        <f>H11+H16+H20+H21+H22+H23-1</f>
        <v>182685</v>
      </c>
      <c r="I10" s="150">
        <f t="shared" si="0"/>
        <v>169377</v>
      </c>
      <c r="J10" s="150">
        <f t="shared" si="0"/>
        <v>13309</v>
      </c>
      <c r="K10" s="152">
        <f t="shared" si="0"/>
        <v>0</v>
      </c>
      <c r="L10" s="153" t="e">
        <f t="shared" si="0"/>
        <v>#REF!</v>
      </c>
      <c r="M10" s="150" t="e">
        <f t="shared" si="0"/>
        <v>#REF!</v>
      </c>
      <c r="N10" s="150" t="e">
        <f t="shared" si="0"/>
        <v>#REF!</v>
      </c>
      <c r="O10" s="152" t="e">
        <f t="shared" si="0"/>
        <v>#REF!</v>
      </c>
      <c r="P10" s="211">
        <v>167746.69</v>
      </c>
      <c r="Q10" s="212">
        <v>166090.16</v>
      </c>
      <c r="R10" s="212">
        <v>1656.53</v>
      </c>
      <c r="S10" s="213">
        <v>0</v>
      </c>
      <c r="T10" s="153">
        <f t="shared" si="0"/>
        <v>202120</v>
      </c>
      <c r="U10" s="150">
        <f t="shared" si="0"/>
        <v>179552</v>
      </c>
      <c r="V10" s="150">
        <f t="shared" si="0"/>
        <v>22568</v>
      </c>
      <c r="W10" s="152">
        <f t="shared" si="0"/>
        <v>0</v>
      </c>
    </row>
    <row r="11" spans="1:23" ht="15.75" x14ac:dyDescent="0.25">
      <c r="A11" s="61"/>
      <c r="B11" s="169" t="s">
        <v>150</v>
      </c>
      <c r="C11" s="170" t="s">
        <v>151</v>
      </c>
      <c r="D11" s="171">
        <f>SUM(D12:D15)</f>
        <v>114308</v>
      </c>
      <c r="E11" s="172">
        <f>SUM(E12:E15)</f>
        <v>114308</v>
      </c>
      <c r="F11" s="172">
        <f>SUM(F12:F15)</f>
        <v>0</v>
      </c>
      <c r="G11" s="173">
        <f>SUM(G12:G15)</f>
        <v>0</v>
      </c>
      <c r="H11" s="171">
        <f t="shared" ref="H11:W11" si="1">SUM(H12:H15)</f>
        <v>84347</v>
      </c>
      <c r="I11" s="172">
        <f t="shared" si="1"/>
        <v>84347</v>
      </c>
      <c r="J11" s="172">
        <f t="shared" si="1"/>
        <v>0</v>
      </c>
      <c r="K11" s="174">
        <f t="shared" si="1"/>
        <v>0</v>
      </c>
      <c r="L11" s="175" t="e">
        <f t="shared" si="1"/>
        <v>#REF!</v>
      </c>
      <c r="M11" s="172" t="e">
        <f t="shared" si="1"/>
        <v>#REF!</v>
      </c>
      <c r="N11" s="172" t="e">
        <f t="shared" si="1"/>
        <v>#REF!</v>
      </c>
      <c r="O11" s="174" t="e">
        <f t="shared" si="1"/>
        <v>#REF!</v>
      </c>
      <c r="P11" s="214">
        <v>92823.26</v>
      </c>
      <c r="Q11" s="215">
        <v>92823.26</v>
      </c>
      <c r="R11" s="215">
        <v>0</v>
      </c>
      <c r="S11" s="216">
        <v>0</v>
      </c>
      <c r="T11" s="175">
        <f t="shared" si="1"/>
        <v>100632</v>
      </c>
      <c r="U11" s="172">
        <f t="shared" si="1"/>
        <v>100632</v>
      </c>
      <c r="V11" s="172">
        <f t="shared" si="1"/>
        <v>0</v>
      </c>
      <c r="W11" s="174">
        <f t="shared" si="1"/>
        <v>0</v>
      </c>
    </row>
    <row r="12" spans="1:23" ht="15.75" x14ac:dyDescent="0.25">
      <c r="A12" s="61"/>
      <c r="B12" s="70">
        <v>1</v>
      </c>
      <c r="C12" s="71" t="s">
        <v>152</v>
      </c>
      <c r="D12" s="72">
        <f>SUM(E12:G12)</f>
        <v>49611</v>
      </c>
      <c r="E12" s="73">
        <v>49611</v>
      </c>
      <c r="F12" s="73"/>
      <c r="G12" s="74"/>
      <c r="H12" s="72">
        <f>SUM(I12:K12)</f>
        <v>38616</v>
      </c>
      <c r="I12" s="73">
        <v>38616</v>
      </c>
      <c r="J12" s="73"/>
      <c r="K12" s="75"/>
      <c r="L12" s="76" t="e">
        <f>SUM(M12:O12)</f>
        <v>#REF!</v>
      </c>
      <c r="M12" s="73" t="e">
        <f>'[5]1.Plánovanie, manažment a kontr'!#REF!</f>
        <v>#REF!</v>
      </c>
      <c r="N12" s="73" t="e">
        <f>'[5]1.Plánovanie, manažment a kontr'!#REF!</f>
        <v>#REF!</v>
      </c>
      <c r="O12" s="75" t="e">
        <f>'[5]1.Plánovanie, manažment a kontr'!#REF!</f>
        <v>#REF!</v>
      </c>
      <c r="P12" s="214">
        <v>38175.74</v>
      </c>
      <c r="Q12" s="217">
        <v>38175.74</v>
      </c>
      <c r="R12" s="217">
        <v>0</v>
      </c>
      <c r="S12" s="218">
        <v>0</v>
      </c>
      <c r="T12" s="76">
        <f>SUM(U12:W12)</f>
        <v>39379</v>
      </c>
      <c r="U12" s="73">
        <f>'[5]1.Plánovanie, manažment a kontr'!$H$5</f>
        <v>39379</v>
      </c>
      <c r="V12" s="73">
        <f>'[5]1.Plánovanie, manažment a kontr'!$I$5</f>
        <v>0</v>
      </c>
      <c r="W12" s="75">
        <f>'[5]1.Plánovanie, manažment a kontr'!$J$5</f>
        <v>0</v>
      </c>
    </row>
    <row r="13" spans="1:23" ht="15.75" x14ac:dyDescent="0.25">
      <c r="A13" s="77"/>
      <c r="B13" s="70">
        <v>2</v>
      </c>
      <c r="C13" s="71" t="s">
        <v>153</v>
      </c>
      <c r="D13" s="72">
        <f>SUM(E13:G13)</f>
        <v>26900</v>
      </c>
      <c r="E13" s="73">
        <v>26900</v>
      </c>
      <c r="F13" s="73"/>
      <c r="G13" s="74"/>
      <c r="H13" s="72">
        <f>SUM(I13:K13)</f>
        <v>21177</v>
      </c>
      <c r="I13" s="73">
        <v>21177</v>
      </c>
      <c r="J13" s="73"/>
      <c r="K13" s="75"/>
      <c r="L13" s="76" t="e">
        <f>SUM(M13:O13)</f>
        <v>#REF!</v>
      </c>
      <c r="M13" s="73" t="e">
        <f>'[5]1.Plánovanie, manažment a kontr'!#REF!</f>
        <v>#REF!</v>
      </c>
      <c r="N13" s="73" t="e">
        <f>'[5]1.Plánovanie, manažment a kontr'!#REF!</f>
        <v>#REF!</v>
      </c>
      <c r="O13" s="75" t="e">
        <f>'[5]1.Plánovanie, manažment a kontr'!#REF!</f>
        <v>#REF!</v>
      </c>
      <c r="P13" s="214">
        <v>26838.14</v>
      </c>
      <c r="Q13" s="217">
        <v>26838.14</v>
      </c>
      <c r="R13" s="217">
        <v>0</v>
      </c>
      <c r="S13" s="218">
        <v>0</v>
      </c>
      <c r="T13" s="76">
        <f>SUM(U13:W13)</f>
        <v>26321</v>
      </c>
      <c r="U13" s="73">
        <f>'[5]1.Plánovanie, manažment a kontr'!$H$16</f>
        <v>26321</v>
      </c>
      <c r="V13" s="73">
        <f>'[5]1.Plánovanie, manažment a kontr'!$I$16</f>
        <v>0</v>
      </c>
      <c r="W13" s="75">
        <f>'[5]1.Plánovanie, manažment a kontr'!$J$16</f>
        <v>0</v>
      </c>
    </row>
    <row r="14" spans="1:23" ht="15.75" x14ac:dyDescent="0.25">
      <c r="A14" s="77"/>
      <c r="B14" s="70">
        <v>3</v>
      </c>
      <c r="C14" s="71" t="s">
        <v>154</v>
      </c>
      <c r="D14" s="72">
        <f>SUM(E14:G14)</f>
        <v>37797</v>
      </c>
      <c r="E14" s="73">
        <v>37797</v>
      </c>
      <c r="F14" s="73"/>
      <c r="G14" s="74"/>
      <c r="H14" s="72">
        <f>SUM(I14:K14)</f>
        <v>24554</v>
      </c>
      <c r="I14" s="73">
        <v>24554</v>
      </c>
      <c r="J14" s="73"/>
      <c r="K14" s="75"/>
      <c r="L14" s="76" t="e">
        <f>SUM(M14:O14)</f>
        <v>#REF!</v>
      </c>
      <c r="M14" s="73" t="e">
        <f>'[5]1.Plánovanie, manažment a kontr'!#REF!</f>
        <v>#REF!</v>
      </c>
      <c r="N14" s="73" t="e">
        <f>'[5]1.Plánovanie, manažment a kontr'!#REF!</f>
        <v>#REF!</v>
      </c>
      <c r="O14" s="75" t="e">
        <f>'[5]1.Plánovanie, manažment a kontr'!#REF!</f>
        <v>#REF!</v>
      </c>
      <c r="P14" s="214">
        <v>27809.38</v>
      </c>
      <c r="Q14" s="217">
        <v>27809.38</v>
      </c>
      <c r="R14" s="217">
        <v>0</v>
      </c>
      <c r="S14" s="218">
        <v>0</v>
      </c>
      <c r="T14" s="76">
        <f>SUM(U14:W14)</f>
        <v>34932</v>
      </c>
      <c r="U14" s="73">
        <f>'[5]1.Plánovanie, manažment a kontr'!$H$27</f>
        <v>34932</v>
      </c>
      <c r="V14" s="73">
        <f>'[5]1.Plánovanie, manažment a kontr'!$I$27</f>
        <v>0</v>
      </c>
      <c r="W14" s="75">
        <f>'[5]1.Plánovanie, manažment a kontr'!$J$27</f>
        <v>0</v>
      </c>
    </row>
    <row r="15" spans="1:23" ht="15.75" x14ac:dyDescent="0.25">
      <c r="A15" s="77"/>
      <c r="B15" s="70">
        <v>4</v>
      </c>
      <c r="C15" s="71" t="s">
        <v>155</v>
      </c>
      <c r="D15" s="72">
        <f>SUM(E15:G15)</f>
        <v>0</v>
      </c>
      <c r="E15" s="73"/>
      <c r="F15" s="73"/>
      <c r="G15" s="74"/>
      <c r="H15" s="72">
        <f>SUM(I15:K15)</f>
        <v>0</v>
      </c>
      <c r="I15" s="73">
        <v>0</v>
      </c>
      <c r="J15" s="73"/>
      <c r="K15" s="75"/>
      <c r="L15" s="76" t="e">
        <f>SUM(M15:O15)</f>
        <v>#REF!</v>
      </c>
      <c r="M15" s="73" t="e">
        <f>'[5]1.Plánovanie, manažment a kontr'!#REF!</f>
        <v>#REF!</v>
      </c>
      <c r="N15" s="73" t="e">
        <f>'[5]1.Plánovanie, manažment a kontr'!#REF!</f>
        <v>#REF!</v>
      </c>
      <c r="O15" s="75" t="e">
        <f>'[5]1.Plánovanie, manažment a kontr'!#REF!</f>
        <v>#REF!</v>
      </c>
      <c r="P15" s="214">
        <v>0</v>
      </c>
      <c r="Q15" s="217">
        <v>0</v>
      </c>
      <c r="R15" s="217">
        <v>0</v>
      </c>
      <c r="S15" s="218">
        <v>0</v>
      </c>
      <c r="T15" s="76">
        <f>SUM(U15:W15)</f>
        <v>0</v>
      </c>
      <c r="U15" s="73">
        <f>'[5]1.Plánovanie, manažment a kontr'!$H$31</f>
        <v>0</v>
      </c>
      <c r="V15" s="73">
        <f>'[5]1.Plánovanie, manažment a kontr'!$I$31</f>
        <v>0</v>
      </c>
      <c r="W15" s="75">
        <f>'[5]1.Plánovanie, manažment a kontr'!$J$31</f>
        <v>0</v>
      </c>
    </row>
    <row r="16" spans="1:23" ht="15.75" x14ac:dyDescent="0.25">
      <c r="A16" s="77"/>
      <c r="B16" s="169" t="s">
        <v>156</v>
      </c>
      <c r="C16" s="170" t="s">
        <v>157</v>
      </c>
      <c r="D16" s="171">
        <f t="shared" ref="D16:W16" si="2">SUM(D17:D19)</f>
        <v>61358</v>
      </c>
      <c r="E16" s="172">
        <f t="shared" si="2"/>
        <v>16667</v>
      </c>
      <c r="F16" s="172">
        <f t="shared" si="2"/>
        <v>44691</v>
      </c>
      <c r="G16" s="173">
        <f t="shared" si="2"/>
        <v>0</v>
      </c>
      <c r="H16" s="171">
        <f t="shared" si="2"/>
        <v>32896</v>
      </c>
      <c r="I16" s="172">
        <f t="shared" si="2"/>
        <v>19587</v>
      </c>
      <c r="J16" s="172">
        <f t="shared" si="2"/>
        <v>13309</v>
      </c>
      <c r="K16" s="174">
        <f t="shared" si="2"/>
        <v>0</v>
      </c>
      <c r="L16" s="175" t="e">
        <f t="shared" si="2"/>
        <v>#REF!</v>
      </c>
      <c r="M16" s="172" t="e">
        <f t="shared" si="2"/>
        <v>#REF!</v>
      </c>
      <c r="N16" s="172" t="e">
        <f t="shared" si="2"/>
        <v>#REF!</v>
      </c>
      <c r="O16" s="174" t="e">
        <f t="shared" si="2"/>
        <v>#REF!</v>
      </c>
      <c r="P16" s="214">
        <v>9763.3700000000008</v>
      </c>
      <c r="Q16" s="215">
        <v>8106.84</v>
      </c>
      <c r="R16" s="215">
        <v>1656.53</v>
      </c>
      <c r="S16" s="216">
        <v>0</v>
      </c>
      <c r="T16" s="175">
        <f t="shared" si="2"/>
        <v>45168</v>
      </c>
      <c r="U16" s="172">
        <f t="shared" si="2"/>
        <v>22600</v>
      </c>
      <c r="V16" s="172">
        <f t="shared" si="2"/>
        <v>22568</v>
      </c>
      <c r="W16" s="174">
        <f t="shared" si="2"/>
        <v>0</v>
      </c>
    </row>
    <row r="17" spans="1:23" ht="15.75" x14ac:dyDescent="0.25">
      <c r="A17" s="77"/>
      <c r="B17" s="70">
        <v>1</v>
      </c>
      <c r="C17" s="71" t="s">
        <v>158</v>
      </c>
      <c r="D17" s="72">
        <f t="shared" ref="D17:D23" si="3">SUM(E17:G17)</f>
        <v>13463</v>
      </c>
      <c r="E17" s="73">
        <v>13463</v>
      </c>
      <c r="F17" s="73"/>
      <c r="G17" s="74"/>
      <c r="H17" s="72">
        <f t="shared" ref="H17:H23" si="4">SUM(I17:K17)</f>
        <v>2001</v>
      </c>
      <c r="I17" s="73">
        <v>2001</v>
      </c>
      <c r="J17" s="73"/>
      <c r="K17" s="75"/>
      <c r="L17" s="76" t="e">
        <f t="shared" ref="L17:L23" si="5">SUM(M17:O17)</f>
        <v>#REF!</v>
      </c>
      <c r="M17" s="73" t="e">
        <f>'[5]1.Plánovanie, manažment a kontr'!#REF!</f>
        <v>#REF!</v>
      </c>
      <c r="N17" s="73" t="e">
        <f>'[5]1.Plánovanie, manažment a kontr'!#REF!</f>
        <v>#REF!</v>
      </c>
      <c r="O17" s="75" t="e">
        <f>'[5]1.Plánovanie, manažment a kontr'!#REF!</f>
        <v>#REF!</v>
      </c>
      <c r="P17" s="214">
        <v>228.58</v>
      </c>
      <c r="Q17" s="217">
        <v>228.58</v>
      </c>
      <c r="R17" s="217">
        <v>0</v>
      </c>
      <c r="S17" s="218">
        <v>0</v>
      </c>
      <c r="T17" s="76">
        <f t="shared" ref="T17:T23" si="6">SUM(U17:W17)</f>
        <v>2046</v>
      </c>
      <c r="U17" s="73">
        <f>'[5]1.Plánovanie, manažment a kontr'!$H$35</f>
        <v>2046</v>
      </c>
      <c r="V17" s="73">
        <f>'[5]1.Plánovanie, manažment a kontr'!$I$35</f>
        <v>0</v>
      </c>
      <c r="W17" s="75">
        <f>'[5]1.Plánovanie, manažment a kontr'!$J$35</f>
        <v>0</v>
      </c>
    </row>
    <row r="18" spans="1:23" ht="15.75" x14ac:dyDescent="0.25">
      <c r="A18" s="77"/>
      <c r="B18" s="70">
        <v>2</v>
      </c>
      <c r="C18" s="71" t="s">
        <v>159</v>
      </c>
      <c r="D18" s="72">
        <f t="shared" si="3"/>
        <v>0</v>
      </c>
      <c r="E18" s="73">
        <v>0</v>
      </c>
      <c r="F18" s="73"/>
      <c r="G18" s="74"/>
      <c r="H18" s="72">
        <f t="shared" si="4"/>
        <v>12120</v>
      </c>
      <c r="I18" s="73">
        <v>12120</v>
      </c>
      <c r="J18" s="73"/>
      <c r="K18" s="75"/>
      <c r="L18" s="76" t="e">
        <f t="shared" si="5"/>
        <v>#REF!</v>
      </c>
      <c r="M18" s="73" t="e">
        <f>'[5]1.Plánovanie, manažment a kontr'!#REF!</f>
        <v>#REF!</v>
      </c>
      <c r="N18" s="73" t="e">
        <f>'[5]1.Plánovanie, manažment a kontr'!#REF!</f>
        <v>#REF!</v>
      </c>
      <c r="O18" s="75" t="e">
        <f>'[5]1.Plánovanie, manažment a kontr'!#REF!</f>
        <v>#REF!</v>
      </c>
      <c r="P18" s="214">
        <v>0</v>
      </c>
      <c r="Q18" s="217">
        <v>0</v>
      </c>
      <c r="R18" s="217">
        <v>0</v>
      </c>
      <c r="S18" s="218">
        <v>0</v>
      </c>
      <c r="T18" s="76">
        <f t="shared" si="6"/>
        <v>10904</v>
      </c>
      <c r="U18" s="73">
        <f>'[5]1.Plánovanie, manažment a kontr'!$H$47</f>
        <v>10904</v>
      </c>
      <c r="V18" s="73">
        <f>'[5]1.Plánovanie, manažment a kontr'!$I$47</f>
        <v>0</v>
      </c>
      <c r="W18" s="75">
        <f>'[5]1.Plánovanie, manažment a kontr'!$J$47</f>
        <v>0</v>
      </c>
    </row>
    <row r="19" spans="1:23" ht="15.75" x14ac:dyDescent="0.25">
      <c r="A19" s="77"/>
      <c r="B19" s="70">
        <v>3</v>
      </c>
      <c r="C19" s="71" t="s">
        <v>160</v>
      </c>
      <c r="D19" s="72">
        <f t="shared" si="3"/>
        <v>47895</v>
      </c>
      <c r="E19" s="73">
        <v>3204</v>
      </c>
      <c r="F19" s="73">
        <v>44691</v>
      </c>
      <c r="G19" s="74"/>
      <c r="H19" s="72">
        <f t="shared" si="4"/>
        <v>18775</v>
      </c>
      <c r="I19" s="73">
        <v>5466</v>
      </c>
      <c r="J19" s="73">
        <v>13309</v>
      </c>
      <c r="K19" s="75"/>
      <c r="L19" s="76" t="e">
        <f t="shared" si="5"/>
        <v>#REF!</v>
      </c>
      <c r="M19" s="73" t="e">
        <f>'[5]1.Plánovanie, manažment a kontr'!#REF!</f>
        <v>#REF!</v>
      </c>
      <c r="N19" s="73" t="e">
        <f>'[5]1.Plánovanie, manažment a kontr'!#REF!</f>
        <v>#REF!</v>
      </c>
      <c r="O19" s="75" t="e">
        <f>'[5]1.Plánovanie, manažment a kontr'!#REF!</f>
        <v>#REF!</v>
      </c>
      <c r="P19" s="214">
        <v>9534.7900000000009</v>
      </c>
      <c r="Q19" s="217">
        <v>7878.26</v>
      </c>
      <c r="R19" s="217">
        <v>1656.53</v>
      </c>
      <c r="S19" s="218">
        <v>0</v>
      </c>
      <c r="T19" s="76">
        <f t="shared" si="6"/>
        <v>32218</v>
      </c>
      <c r="U19" s="73">
        <f>'[5]1.Plánovanie, manažment a kontr'!$H$50</f>
        <v>9650</v>
      </c>
      <c r="V19" s="73">
        <f>'[5]1.Plánovanie, manažment a kontr'!$I$50</f>
        <v>22568</v>
      </c>
      <c r="W19" s="75">
        <f>'[5]1.Plánovanie, manažment a kontr'!$J$50</f>
        <v>0</v>
      </c>
    </row>
    <row r="20" spans="1:23" ht="15.75" x14ac:dyDescent="0.25">
      <c r="A20" s="53"/>
      <c r="B20" s="169" t="s">
        <v>161</v>
      </c>
      <c r="C20" s="170" t="s">
        <v>162</v>
      </c>
      <c r="D20" s="171">
        <f t="shared" si="3"/>
        <v>59900</v>
      </c>
      <c r="E20" s="172">
        <v>59900</v>
      </c>
      <c r="F20" s="172"/>
      <c r="G20" s="173"/>
      <c r="H20" s="171">
        <f t="shared" si="4"/>
        <v>57447</v>
      </c>
      <c r="I20" s="172">
        <v>57447</v>
      </c>
      <c r="J20" s="172"/>
      <c r="K20" s="174"/>
      <c r="L20" s="175" t="e">
        <f t="shared" si="5"/>
        <v>#REF!</v>
      </c>
      <c r="M20" s="172" t="e">
        <f>'[5]1.Plánovanie, manažment a kontr'!#REF!</f>
        <v>#REF!</v>
      </c>
      <c r="N20" s="172" t="e">
        <f>'[5]1.Plánovanie, manažment a kontr'!#REF!</f>
        <v>#REF!</v>
      </c>
      <c r="O20" s="174" t="e">
        <f>'[5]1.Plánovanie, manažment a kontr'!#REF!</f>
        <v>#REF!</v>
      </c>
      <c r="P20" s="214">
        <v>51038.51</v>
      </c>
      <c r="Q20" s="215">
        <v>51038.51</v>
      </c>
      <c r="R20" s="215">
        <v>0</v>
      </c>
      <c r="S20" s="216">
        <v>0</v>
      </c>
      <c r="T20" s="175">
        <f t="shared" si="6"/>
        <v>44354</v>
      </c>
      <c r="U20" s="172">
        <f>'[5]1.Plánovanie, manažment a kontr'!$H$62</f>
        <v>44354</v>
      </c>
      <c r="V20" s="172">
        <f>'[5]1.Plánovanie, manažment a kontr'!$I$62</f>
        <v>0</v>
      </c>
      <c r="W20" s="174">
        <f>'[5]1.Plánovanie, manažment a kontr'!$J$62</f>
        <v>0</v>
      </c>
    </row>
    <row r="21" spans="1:23" ht="15.75" x14ac:dyDescent="0.25">
      <c r="A21" s="61"/>
      <c r="B21" s="169" t="s">
        <v>163</v>
      </c>
      <c r="C21" s="170" t="s">
        <v>164</v>
      </c>
      <c r="D21" s="171">
        <f t="shared" si="3"/>
        <v>1990</v>
      </c>
      <c r="E21" s="172">
        <v>1990</v>
      </c>
      <c r="F21" s="172"/>
      <c r="G21" s="173"/>
      <c r="H21" s="171">
        <f t="shared" si="4"/>
        <v>1990</v>
      </c>
      <c r="I21" s="172">
        <v>1990</v>
      </c>
      <c r="J21" s="172"/>
      <c r="K21" s="174"/>
      <c r="L21" s="175" t="e">
        <f t="shared" si="5"/>
        <v>#REF!</v>
      </c>
      <c r="M21" s="172" t="e">
        <f>'[5]1.Plánovanie, manažment a kontr'!#REF!</f>
        <v>#REF!</v>
      </c>
      <c r="N21" s="172" t="e">
        <f>'[5]1.Plánovanie, manažment a kontr'!#REF!</f>
        <v>#REF!</v>
      </c>
      <c r="O21" s="174" t="e">
        <f>'[5]1.Plánovanie, manažment a kontr'!#REF!</f>
        <v>#REF!</v>
      </c>
      <c r="P21" s="214">
        <v>2300</v>
      </c>
      <c r="Q21" s="215">
        <v>2300</v>
      </c>
      <c r="R21" s="215">
        <v>0</v>
      </c>
      <c r="S21" s="216">
        <v>0</v>
      </c>
      <c r="T21" s="175">
        <f t="shared" si="6"/>
        <v>3600</v>
      </c>
      <c r="U21" s="172">
        <f>'[5]1.Plánovanie, manažment a kontr'!$H$72</f>
        <v>3600</v>
      </c>
      <c r="V21" s="172">
        <f>'[5]1.Plánovanie, manažment a kontr'!$I$72</f>
        <v>0</v>
      </c>
      <c r="W21" s="174">
        <f>'[5]1.Plánovanie, manažment a kontr'!$J$72</f>
        <v>0</v>
      </c>
    </row>
    <row r="22" spans="1:23" ht="15.75" x14ac:dyDescent="0.25">
      <c r="A22" s="61"/>
      <c r="B22" s="169" t="s">
        <v>165</v>
      </c>
      <c r="C22" s="170" t="s">
        <v>166</v>
      </c>
      <c r="D22" s="171">
        <f t="shared" si="3"/>
        <v>5812</v>
      </c>
      <c r="E22" s="172">
        <v>5812</v>
      </c>
      <c r="F22" s="172"/>
      <c r="G22" s="173"/>
      <c r="H22" s="171">
        <f t="shared" si="4"/>
        <v>6006</v>
      </c>
      <c r="I22" s="172">
        <v>6006</v>
      </c>
      <c r="J22" s="172"/>
      <c r="K22" s="174"/>
      <c r="L22" s="175" t="e">
        <f t="shared" si="5"/>
        <v>#REF!</v>
      </c>
      <c r="M22" s="172" t="e">
        <f>'[5]1.Plánovanie, manažment a kontr'!#REF!</f>
        <v>#REF!</v>
      </c>
      <c r="N22" s="172" t="e">
        <f>'[5]1.Plánovanie, manažment a kontr'!#REF!</f>
        <v>#REF!</v>
      </c>
      <c r="O22" s="174" t="e">
        <f>'[5]1.Plánovanie, manažment a kontr'!#REF!</f>
        <v>#REF!</v>
      </c>
      <c r="P22" s="214">
        <v>11821.55</v>
      </c>
      <c r="Q22" s="215">
        <v>11821.55</v>
      </c>
      <c r="R22" s="215">
        <v>0</v>
      </c>
      <c r="S22" s="216">
        <v>0</v>
      </c>
      <c r="T22" s="175">
        <f t="shared" si="6"/>
        <v>8366</v>
      </c>
      <c r="U22" s="172">
        <f>'[5]1.Plánovanie, manažment a kontr'!$H$75</f>
        <v>8366</v>
      </c>
      <c r="V22" s="172">
        <f>'[5]1.Plánovanie, manažment a kontr'!$I$75</f>
        <v>0</v>
      </c>
      <c r="W22" s="174">
        <f>'[5]1.Plánovanie, manažment a kontr'!$J$75</f>
        <v>0</v>
      </c>
    </row>
    <row r="23" spans="1:23" ht="16.5" thickBot="1" x14ac:dyDescent="0.3">
      <c r="A23" s="61"/>
      <c r="B23" s="176" t="s">
        <v>167</v>
      </c>
      <c r="C23" s="177" t="s">
        <v>168</v>
      </c>
      <c r="D23" s="178">
        <f t="shared" si="3"/>
        <v>5673</v>
      </c>
      <c r="E23" s="179">
        <v>3412</v>
      </c>
      <c r="F23" s="179">
        <v>2261</v>
      </c>
      <c r="G23" s="180"/>
      <c r="H23" s="171">
        <f t="shared" si="4"/>
        <v>0</v>
      </c>
      <c r="I23" s="181">
        <v>0</v>
      </c>
      <c r="J23" s="181"/>
      <c r="K23" s="182"/>
      <c r="L23" s="183" t="e">
        <f t="shared" si="5"/>
        <v>#REF!</v>
      </c>
      <c r="M23" s="181" t="e">
        <f>'[5]1.Plánovanie, manažment a kontr'!#REF!</f>
        <v>#REF!</v>
      </c>
      <c r="N23" s="181" t="e">
        <f>'[5]1.Plánovanie, manažment a kontr'!#REF!</f>
        <v>#REF!</v>
      </c>
      <c r="O23" s="182" t="e">
        <f>'[5]1.Plánovanie, manažment a kontr'!#REF!</f>
        <v>#REF!</v>
      </c>
      <c r="P23" s="219">
        <v>0</v>
      </c>
      <c r="Q23" s="220">
        <v>0</v>
      </c>
      <c r="R23" s="220">
        <v>0</v>
      </c>
      <c r="S23" s="221">
        <v>0</v>
      </c>
      <c r="T23" s="183">
        <f t="shared" si="6"/>
        <v>0</v>
      </c>
      <c r="U23" s="181">
        <f>'[5]1.Plánovanie, manažment a kontr'!$H$79</f>
        <v>0</v>
      </c>
      <c r="V23" s="181">
        <f>'[5]1.Plánovanie, manažment a kontr'!$I$79</f>
        <v>0</v>
      </c>
      <c r="W23" s="182">
        <f>'[5]1.Plánovanie, manažment a kontr'!$J$79</f>
        <v>0</v>
      </c>
    </row>
    <row r="24" spans="1:23" s="63" customFormat="1" ht="14.25" x14ac:dyDescent="0.2">
      <c r="A24" s="77"/>
      <c r="B24" s="154" t="s">
        <v>169</v>
      </c>
      <c r="C24" s="155"/>
      <c r="D24" s="149" t="e">
        <f t="shared" ref="D24:W24" si="7">D25+D34+D37</f>
        <v>#REF!</v>
      </c>
      <c r="E24" s="150">
        <f t="shared" si="7"/>
        <v>34198</v>
      </c>
      <c r="F24" s="150" t="e">
        <f t="shared" si="7"/>
        <v>#REF!</v>
      </c>
      <c r="G24" s="151" t="e">
        <f t="shared" si="7"/>
        <v>#REF!</v>
      </c>
      <c r="H24" s="149" t="e">
        <f>H25+H34+H37-1</f>
        <v>#REF!</v>
      </c>
      <c r="I24" s="150">
        <f>I25+I34+I37-1</f>
        <v>23616</v>
      </c>
      <c r="J24" s="150" t="e">
        <f t="shared" si="7"/>
        <v>#REF!</v>
      </c>
      <c r="K24" s="152" t="e">
        <f t="shared" si="7"/>
        <v>#REF!</v>
      </c>
      <c r="L24" s="153" t="e">
        <f t="shared" si="7"/>
        <v>#REF!</v>
      </c>
      <c r="M24" s="150" t="e">
        <f t="shared" si="7"/>
        <v>#REF!</v>
      </c>
      <c r="N24" s="150" t="e">
        <f t="shared" si="7"/>
        <v>#REF!</v>
      </c>
      <c r="O24" s="152" t="e">
        <f t="shared" si="7"/>
        <v>#REF!</v>
      </c>
      <c r="P24" s="222">
        <v>32781.14</v>
      </c>
      <c r="Q24" s="223">
        <v>32781.14</v>
      </c>
      <c r="R24" s="212">
        <v>0</v>
      </c>
      <c r="S24" s="213">
        <v>0</v>
      </c>
      <c r="T24" s="153" t="e">
        <f t="shared" si="7"/>
        <v>#REF!</v>
      </c>
      <c r="U24" s="150">
        <f t="shared" si="7"/>
        <v>14525</v>
      </c>
      <c r="V24" s="150" t="e">
        <f t="shared" si="7"/>
        <v>#REF!</v>
      </c>
      <c r="W24" s="152" t="e">
        <f t="shared" si="7"/>
        <v>#REF!</v>
      </c>
    </row>
    <row r="25" spans="1:23" ht="15.75" x14ac:dyDescent="0.25">
      <c r="A25" s="61"/>
      <c r="B25" s="169" t="s">
        <v>170</v>
      </c>
      <c r="C25" s="184" t="s">
        <v>171</v>
      </c>
      <c r="D25" s="171" t="e">
        <f t="shared" ref="D25:W25" si="8">SUM(D26:D33)</f>
        <v>#REF!</v>
      </c>
      <c r="E25" s="172">
        <f t="shared" si="8"/>
        <v>23986</v>
      </c>
      <c r="F25" s="172" t="e">
        <f t="shared" si="8"/>
        <v>#REF!</v>
      </c>
      <c r="G25" s="173" t="e">
        <f t="shared" si="8"/>
        <v>#REF!</v>
      </c>
      <c r="H25" s="171" t="e">
        <f t="shared" si="8"/>
        <v>#REF!</v>
      </c>
      <c r="I25" s="172">
        <f t="shared" si="8"/>
        <v>7699</v>
      </c>
      <c r="J25" s="172" t="e">
        <f t="shared" si="8"/>
        <v>#REF!</v>
      </c>
      <c r="K25" s="174" t="e">
        <f t="shared" si="8"/>
        <v>#REF!</v>
      </c>
      <c r="L25" s="175" t="e">
        <f t="shared" si="8"/>
        <v>#REF!</v>
      </c>
      <c r="M25" s="172" t="e">
        <f t="shared" si="8"/>
        <v>#REF!</v>
      </c>
      <c r="N25" s="172" t="e">
        <f t="shared" si="8"/>
        <v>#REF!</v>
      </c>
      <c r="O25" s="174" t="e">
        <f t="shared" si="8"/>
        <v>#REF!</v>
      </c>
      <c r="P25" s="214">
        <v>17531.349999999999</v>
      </c>
      <c r="Q25" s="215">
        <v>17531.349999999999</v>
      </c>
      <c r="R25" s="215">
        <v>0</v>
      </c>
      <c r="S25" s="216">
        <v>0</v>
      </c>
      <c r="T25" s="175">
        <f t="shared" si="8"/>
        <v>9375</v>
      </c>
      <c r="U25" s="172">
        <f t="shared" si="8"/>
        <v>9375</v>
      </c>
      <c r="V25" s="172">
        <f t="shared" si="8"/>
        <v>0</v>
      </c>
      <c r="W25" s="174">
        <f t="shared" si="8"/>
        <v>0</v>
      </c>
    </row>
    <row r="26" spans="1:23" ht="15.75" x14ac:dyDescent="0.25">
      <c r="A26" s="85"/>
      <c r="B26" s="70">
        <v>1</v>
      </c>
      <c r="C26" s="84" t="s">
        <v>172</v>
      </c>
      <c r="D26" s="72" t="e">
        <f t="shared" ref="D26:D33" si="9">SUM(E26:G26)</f>
        <v>#REF!</v>
      </c>
      <c r="E26" s="73">
        <v>47</v>
      </c>
      <c r="F26" s="73" t="e">
        <f>'[5]2. Propagácia a marketing'!#REF!</f>
        <v>#REF!</v>
      </c>
      <c r="G26" s="74" t="e">
        <f>'[5]2. Propagácia a marketing'!#REF!</f>
        <v>#REF!</v>
      </c>
      <c r="H26" s="72" t="e">
        <f t="shared" ref="H26:H33" si="10">SUM(I26:K26)</f>
        <v>#REF!</v>
      </c>
      <c r="I26" s="73">
        <v>110</v>
      </c>
      <c r="J26" s="73" t="e">
        <f>'[5]2. Propagácia a marketing'!#REF!</f>
        <v>#REF!</v>
      </c>
      <c r="K26" s="75" t="e">
        <f>'[5]2. Propagácia a marketing'!#REF!</f>
        <v>#REF!</v>
      </c>
      <c r="L26" s="76" t="e">
        <f t="shared" ref="L26:L33" si="11">SUM(M26:O26)</f>
        <v>#REF!</v>
      </c>
      <c r="M26" s="73" t="e">
        <f>'[5]2. Propagácia a marketing'!#REF!</f>
        <v>#REF!</v>
      </c>
      <c r="N26" s="73" t="e">
        <f>'[5]2. Propagácia a marketing'!#REF!</f>
        <v>#REF!</v>
      </c>
      <c r="O26" s="75" t="e">
        <f>'[5]2. Propagácia a marketing'!#REF!</f>
        <v>#REF!</v>
      </c>
      <c r="P26" s="214">
        <v>128.30000000000001</v>
      </c>
      <c r="Q26" s="217">
        <v>128.30000000000001</v>
      </c>
      <c r="R26" s="217">
        <v>0</v>
      </c>
      <c r="S26" s="218">
        <v>0</v>
      </c>
      <c r="T26" s="76">
        <f t="shared" ref="T26:T33" si="12">SUM(U26:W26)</f>
        <v>130</v>
      </c>
      <c r="U26" s="73">
        <f>'[5]2. Propagácia a marketing'!$H$5</f>
        <v>130</v>
      </c>
      <c r="V26" s="73">
        <f>'[5]2. Propagácia a marketing'!$I$5</f>
        <v>0</v>
      </c>
      <c r="W26" s="75">
        <f>'[5]2. Propagácia a marketing'!$J$5</f>
        <v>0</v>
      </c>
    </row>
    <row r="27" spans="1:23" ht="15.75" x14ac:dyDescent="0.25">
      <c r="A27" s="61"/>
      <c r="B27" s="70">
        <v>2</v>
      </c>
      <c r="C27" s="86" t="s">
        <v>173</v>
      </c>
      <c r="D27" s="72" t="e">
        <f t="shared" si="9"/>
        <v>#REF!</v>
      </c>
      <c r="E27" s="73">
        <v>503</v>
      </c>
      <c r="F27" s="73" t="e">
        <f>'[5]2. Propagácia a marketing'!#REF!</f>
        <v>#REF!</v>
      </c>
      <c r="G27" s="74" t="e">
        <f>'[5]2. Propagácia a marketing'!#REF!</f>
        <v>#REF!</v>
      </c>
      <c r="H27" s="72" t="e">
        <f t="shared" si="10"/>
        <v>#REF!</v>
      </c>
      <c r="I27" s="73">
        <v>239</v>
      </c>
      <c r="J27" s="73" t="e">
        <f>'[5]2. Propagácia a marketing'!#REF!</f>
        <v>#REF!</v>
      </c>
      <c r="K27" s="75" t="e">
        <f>'[5]2. Propagácia a marketing'!#REF!</f>
        <v>#REF!</v>
      </c>
      <c r="L27" s="76" t="e">
        <f t="shared" si="11"/>
        <v>#REF!</v>
      </c>
      <c r="M27" s="73" t="e">
        <f>'[5]2. Propagácia a marketing'!#REF!</f>
        <v>#REF!</v>
      </c>
      <c r="N27" s="73" t="e">
        <f>'[5]2. Propagácia a marketing'!#REF!</f>
        <v>#REF!</v>
      </c>
      <c r="O27" s="75" t="e">
        <f>'[5]2. Propagácia a marketing'!#REF!</f>
        <v>#REF!</v>
      </c>
      <c r="P27" s="214">
        <v>168.38</v>
      </c>
      <c r="Q27" s="217">
        <v>168.38</v>
      </c>
      <c r="R27" s="217">
        <v>0</v>
      </c>
      <c r="S27" s="218">
        <v>0</v>
      </c>
      <c r="T27" s="76">
        <f t="shared" si="12"/>
        <v>1000</v>
      </c>
      <c r="U27" s="73">
        <f>'[5]2. Propagácia a marketing'!$H$7</f>
        <v>1000</v>
      </c>
      <c r="V27" s="73">
        <f>'[5]2. Propagácia a marketing'!$I$7</f>
        <v>0</v>
      </c>
      <c r="W27" s="75">
        <f>'[5]2. Propagácia a marketing'!$J$7</f>
        <v>0</v>
      </c>
    </row>
    <row r="28" spans="1:23" ht="15.75" x14ac:dyDescent="0.25">
      <c r="A28" s="61"/>
      <c r="B28" s="70">
        <v>3</v>
      </c>
      <c r="C28" s="84" t="s">
        <v>174</v>
      </c>
      <c r="D28" s="72" t="e">
        <f t="shared" si="9"/>
        <v>#REF!</v>
      </c>
      <c r="E28" s="73">
        <v>1371</v>
      </c>
      <c r="F28" s="73" t="e">
        <f>'[5]2. Propagácia a marketing'!#REF!</f>
        <v>#REF!</v>
      </c>
      <c r="G28" s="74" t="e">
        <f>'[5]2. Propagácia a marketing'!#REF!</f>
        <v>#REF!</v>
      </c>
      <c r="H28" s="72" t="e">
        <f t="shared" si="10"/>
        <v>#REF!</v>
      </c>
      <c r="I28" s="73">
        <v>1669</v>
      </c>
      <c r="J28" s="73" t="e">
        <f>'[5]2. Propagácia a marketing'!#REF!</f>
        <v>#REF!</v>
      </c>
      <c r="K28" s="75" t="e">
        <f>'[5]2. Propagácia a marketing'!#REF!</f>
        <v>#REF!</v>
      </c>
      <c r="L28" s="76" t="e">
        <f t="shared" si="11"/>
        <v>#REF!</v>
      </c>
      <c r="M28" s="73" t="e">
        <f>'[5]2. Propagácia a marketing'!#REF!</f>
        <v>#REF!</v>
      </c>
      <c r="N28" s="73" t="e">
        <f>'[5]2. Propagácia a marketing'!#REF!</f>
        <v>#REF!</v>
      </c>
      <c r="O28" s="75" t="e">
        <f>'[5]2. Propagácia a marketing'!#REF!</f>
        <v>#REF!</v>
      </c>
      <c r="P28" s="214">
        <v>14531.72</v>
      </c>
      <c r="Q28" s="217">
        <v>14531.72</v>
      </c>
      <c r="R28" s="217">
        <v>0</v>
      </c>
      <c r="S28" s="218">
        <v>0</v>
      </c>
      <c r="T28" s="76">
        <f t="shared" si="12"/>
        <v>5765</v>
      </c>
      <c r="U28" s="73">
        <f>'[5]2. Propagácia a marketing'!$H$11</f>
        <v>5765</v>
      </c>
      <c r="V28" s="73">
        <f>'[5]2. Propagácia a marketing'!$I$11</f>
        <v>0</v>
      </c>
      <c r="W28" s="75">
        <f>'[5]2. Propagácia a marketing'!$J$11</f>
        <v>0</v>
      </c>
    </row>
    <row r="29" spans="1:23" ht="15.75" x14ac:dyDescent="0.25">
      <c r="A29" s="61"/>
      <c r="B29" s="70">
        <v>4</v>
      </c>
      <c r="C29" s="84" t="s">
        <v>175</v>
      </c>
      <c r="D29" s="72" t="e">
        <f t="shared" si="9"/>
        <v>#REF!</v>
      </c>
      <c r="E29" s="73">
        <v>8785</v>
      </c>
      <c r="F29" s="73" t="e">
        <f>'[5]2. Propagácia a marketing'!#REF!</f>
        <v>#REF!</v>
      </c>
      <c r="G29" s="74" t="e">
        <f>'[5]2. Propagácia a marketing'!#REF!</f>
        <v>#REF!</v>
      </c>
      <c r="H29" s="72" t="e">
        <f t="shared" si="10"/>
        <v>#REF!</v>
      </c>
      <c r="I29" s="73">
        <v>2024</v>
      </c>
      <c r="J29" s="73" t="e">
        <f>'[5]2. Propagácia a marketing'!#REF!</f>
        <v>#REF!</v>
      </c>
      <c r="K29" s="75" t="e">
        <f>'[5]2. Propagácia a marketing'!#REF!</f>
        <v>#REF!</v>
      </c>
      <c r="L29" s="76" t="e">
        <f t="shared" si="11"/>
        <v>#REF!</v>
      </c>
      <c r="M29" s="73" t="e">
        <f>'[5]2. Propagácia a marketing'!#REF!</f>
        <v>#REF!</v>
      </c>
      <c r="N29" s="73" t="e">
        <f>'[5]2. Propagácia a marketing'!#REF!</f>
        <v>#REF!</v>
      </c>
      <c r="O29" s="75" t="e">
        <f>'[5]2. Propagácia a marketing'!#REF!</f>
        <v>#REF!</v>
      </c>
      <c r="P29" s="214">
        <v>0</v>
      </c>
      <c r="Q29" s="217">
        <v>0</v>
      </c>
      <c r="R29" s="217">
        <v>0</v>
      </c>
      <c r="S29" s="218">
        <v>0</v>
      </c>
      <c r="T29" s="76">
        <f t="shared" si="12"/>
        <v>1000</v>
      </c>
      <c r="U29" s="73">
        <f>'[5]2. Propagácia a marketing'!$H$19</f>
        <v>1000</v>
      </c>
      <c r="V29" s="73">
        <f>'[5]2. Propagácia a marketing'!$I$19</f>
        <v>0</v>
      </c>
      <c r="W29" s="75">
        <f>'[5]2. Propagácia a marketing'!$J$19</f>
        <v>0</v>
      </c>
    </row>
    <row r="30" spans="1:23" ht="15.75" x14ac:dyDescent="0.25">
      <c r="A30" s="61"/>
      <c r="B30" s="70">
        <v>5</v>
      </c>
      <c r="C30" s="84" t="s">
        <v>176</v>
      </c>
      <c r="D30" s="72" t="e">
        <f t="shared" si="9"/>
        <v>#REF!</v>
      </c>
      <c r="E30" s="73">
        <v>1511</v>
      </c>
      <c r="F30" s="73" t="e">
        <f>'[5]2. Propagácia a marketing'!#REF!</f>
        <v>#REF!</v>
      </c>
      <c r="G30" s="74" t="e">
        <f>'[5]2. Propagácia a marketing'!#REF!</f>
        <v>#REF!</v>
      </c>
      <c r="H30" s="72" t="e">
        <f t="shared" si="10"/>
        <v>#REF!</v>
      </c>
      <c r="I30" s="73">
        <v>764</v>
      </c>
      <c r="J30" s="73" t="e">
        <f>'[5]2. Propagácia a marketing'!#REF!</f>
        <v>#REF!</v>
      </c>
      <c r="K30" s="75" t="e">
        <f>'[5]2. Propagácia a marketing'!#REF!</f>
        <v>#REF!</v>
      </c>
      <c r="L30" s="76" t="e">
        <f t="shared" si="11"/>
        <v>#REF!</v>
      </c>
      <c r="M30" s="73" t="e">
        <f>'[5]2. Propagácia a marketing'!#REF!</f>
        <v>#REF!</v>
      </c>
      <c r="N30" s="73" t="e">
        <f>'[5]2. Propagácia a marketing'!#REF!</f>
        <v>#REF!</v>
      </c>
      <c r="O30" s="75" t="e">
        <f>'[5]2. Propagácia a marketing'!#REF!</f>
        <v>#REF!</v>
      </c>
      <c r="P30" s="214">
        <v>1265</v>
      </c>
      <c r="Q30" s="217">
        <v>1265</v>
      </c>
      <c r="R30" s="217">
        <v>0</v>
      </c>
      <c r="S30" s="218">
        <v>0</v>
      </c>
      <c r="T30" s="76">
        <f t="shared" si="12"/>
        <v>0</v>
      </c>
      <c r="U30" s="73">
        <f>'[5]2. Propagácia a marketing'!$H$21</f>
        <v>0</v>
      </c>
      <c r="V30" s="73">
        <f>'[5]2. Propagácia a marketing'!$I$21</f>
        <v>0</v>
      </c>
      <c r="W30" s="75">
        <f>'[5]2. Propagácia a marketing'!$J$21</f>
        <v>0</v>
      </c>
    </row>
    <row r="31" spans="1:23" ht="15.75" x14ac:dyDescent="0.25">
      <c r="A31" s="61"/>
      <c r="B31" s="70">
        <v>6</v>
      </c>
      <c r="C31" s="84" t="s">
        <v>177</v>
      </c>
      <c r="D31" s="72" t="e">
        <f t="shared" si="9"/>
        <v>#REF!</v>
      </c>
      <c r="E31" s="73">
        <v>3470</v>
      </c>
      <c r="F31" s="73" t="e">
        <f>'[5]2. Propagácia a marketing'!#REF!</f>
        <v>#REF!</v>
      </c>
      <c r="G31" s="74" t="e">
        <f>'[5]2. Propagácia a marketing'!#REF!</f>
        <v>#REF!</v>
      </c>
      <c r="H31" s="72" t="e">
        <f t="shared" si="10"/>
        <v>#REF!</v>
      </c>
      <c r="I31" s="73">
        <v>1363</v>
      </c>
      <c r="J31" s="73" t="e">
        <f>'[5]2. Propagácia a marketing'!#REF!</f>
        <v>#REF!</v>
      </c>
      <c r="K31" s="75" t="e">
        <f>'[5]2. Propagácia a marketing'!#REF!</f>
        <v>#REF!</v>
      </c>
      <c r="L31" s="76" t="e">
        <f t="shared" si="11"/>
        <v>#REF!</v>
      </c>
      <c r="M31" s="73" t="e">
        <f>'[5]2. Propagácia a marketing'!#REF!</f>
        <v>#REF!</v>
      </c>
      <c r="N31" s="73" t="e">
        <f>'[5]2. Propagácia a marketing'!#REF!</f>
        <v>#REF!</v>
      </c>
      <c r="O31" s="75" t="e">
        <f>'[5]2. Propagácia a marketing'!#REF!</f>
        <v>#REF!</v>
      </c>
      <c r="P31" s="214">
        <v>60.95</v>
      </c>
      <c r="Q31" s="217">
        <v>60.95</v>
      </c>
      <c r="R31" s="217">
        <v>0</v>
      </c>
      <c r="S31" s="218">
        <v>0</v>
      </c>
      <c r="T31" s="76">
        <f t="shared" si="12"/>
        <v>0</v>
      </c>
      <c r="U31" s="73">
        <f>'[5]2. Propagácia a marketing'!$H$24</f>
        <v>0</v>
      </c>
      <c r="V31" s="73">
        <f>'[5]2. Propagácia a marketing'!$I$24</f>
        <v>0</v>
      </c>
      <c r="W31" s="75">
        <f>'[5]2. Propagácia a marketing'!$J$24</f>
        <v>0</v>
      </c>
    </row>
    <row r="32" spans="1:23" ht="15.75" x14ac:dyDescent="0.25">
      <c r="A32" s="61"/>
      <c r="B32" s="70">
        <v>7</v>
      </c>
      <c r="C32" s="84" t="s">
        <v>178</v>
      </c>
      <c r="D32" s="72" t="e">
        <f t="shared" si="9"/>
        <v>#REF!</v>
      </c>
      <c r="E32" s="73">
        <v>0</v>
      </c>
      <c r="F32" s="73" t="e">
        <f>'[5]2. Propagácia a marketing'!#REF!</f>
        <v>#REF!</v>
      </c>
      <c r="G32" s="74" t="e">
        <f>'[5]2. Propagácia a marketing'!#REF!</f>
        <v>#REF!</v>
      </c>
      <c r="H32" s="72" t="e">
        <f t="shared" si="10"/>
        <v>#REF!</v>
      </c>
      <c r="I32" s="73">
        <v>1530</v>
      </c>
      <c r="J32" s="73" t="e">
        <f>'[5]2. Propagácia a marketing'!#REF!</f>
        <v>#REF!</v>
      </c>
      <c r="K32" s="75" t="e">
        <f>'[5]2. Propagácia a marketing'!#REF!</f>
        <v>#REF!</v>
      </c>
      <c r="L32" s="76" t="e">
        <f t="shared" si="11"/>
        <v>#REF!</v>
      </c>
      <c r="M32" s="73" t="e">
        <f>'[5]2. Propagácia a marketing'!#REF!</f>
        <v>#REF!</v>
      </c>
      <c r="N32" s="73" t="e">
        <f>'[5]2. Propagácia a marketing'!#REF!</f>
        <v>#REF!</v>
      </c>
      <c r="O32" s="75" t="e">
        <f>'[5]2. Propagácia a marketing'!#REF!</f>
        <v>#REF!</v>
      </c>
      <c r="P32" s="214">
        <v>1377</v>
      </c>
      <c r="Q32" s="217">
        <v>1377</v>
      </c>
      <c r="R32" s="217">
        <v>0</v>
      </c>
      <c r="S32" s="218">
        <v>0</v>
      </c>
      <c r="T32" s="76">
        <f t="shared" si="12"/>
        <v>1480</v>
      </c>
      <c r="U32" s="73">
        <f>'[5]2. Propagácia a marketing'!$H$26</f>
        <v>1480</v>
      </c>
      <c r="V32" s="73">
        <f>'[5]2. Propagácia a marketing'!$I$26</f>
        <v>0</v>
      </c>
      <c r="W32" s="75">
        <f>'[5]2. Propagácia a marketing'!$J$26</f>
        <v>0</v>
      </c>
    </row>
    <row r="33" spans="1:23" ht="15.75" x14ac:dyDescent="0.25">
      <c r="A33" s="61"/>
      <c r="B33" s="70">
        <v>8</v>
      </c>
      <c r="C33" s="84" t="s">
        <v>179</v>
      </c>
      <c r="D33" s="72" t="e">
        <f t="shared" si="9"/>
        <v>#REF!</v>
      </c>
      <c r="E33" s="73">
        <v>8299</v>
      </c>
      <c r="F33" s="73" t="e">
        <f>'[5]2. Propagácia a marketing'!#REF!</f>
        <v>#REF!</v>
      </c>
      <c r="G33" s="74" t="e">
        <f>'[5]2. Propagácia a marketing'!#REF!</f>
        <v>#REF!</v>
      </c>
      <c r="H33" s="72" t="e">
        <f t="shared" si="10"/>
        <v>#REF!</v>
      </c>
      <c r="I33" s="73">
        <v>0</v>
      </c>
      <c r="J33" s="73" t="e">
        <f>'[5]2. Propagácia a marketing'!#REF!</f>
        <v>#REF!</v>
      </c>
      <c r="K33" s="75" t="e">
        <f>'[5]2. Propagácia a marketing'!#REF!</f>
        <v>#REF!</v>
      </c>
      <c r="L33" s="76" t="e">
        <f t="shared" si="11"/>
        <v>#REF!</v>
      </c>
      <c r="M33" s="73" t="e">
        <f>'[5]2. Propagácia a marketing'!#REF!</f>
        <v>#REF!</v>
      </c>
      <c r="N33" s="73" t="e">
        <f>'[5]2. Propagácia a marketing'!#REF!</f>
        <v>#REF!</v>
      </c>
      <c r="O33" s="75" t="e">
        <f>'[5]2. Propagácia a marketing'!#REF!</f>
        <v>#REF!</v>
      </c>
      <c r="P33" s="214">
        <v>0</v>
      </c>
      <c r="Q33" s="217">
        <v>0</v>
      </c>
      <c r="R33" s="217">
        <v>0</v>
      </c>
      <c r="S33" s="218">
        <v>0</v>
      </c>
      <c r="T33" s="76">
        <f t="shared" si="12"/>
        <v>0</v>
      </c>
      <c r="U33" s="73">
        <f>'[5]2. Propagácia a marketing'!$H$28</f>
        <v>0</v>
      </c>
      <c r="V33" s="73">
        <f>'[5]2. Propagácia a marketing'!$I$28</f>
        <v>0</v>
      </c>
      <c r="W33" s="75">
        <f>'[5]2. Propagácia a marketing'!$J$28</f>
        <v>0</v>
      </c>
    </row>
    <row r="34" spans="1:23" ht="15.75" x14ac:dyDescent="0.25">
      <c r="B34" s="169" t="s">
        <v>180</v>
      </c>
      <c r="C34" s="184" t="s">
        <v>181</v>
      </c>
      <c r="D34" s="171" t="e">
        <f t="shared" ref="D34:W34" si="13">SUM(D35:D36)</f>
        <v>#REF!</v>
      </c>
      <c r="E34" s="172">
        <f t="shared" si="13"/>
        <v>3755</v>
      </c>
      <c r="F34" s="172" t="e">
        <f t="shared" si="13"/>
        <v>#REF!</v>
      </c>
      <c r="G34" s="173" t="e">
        <f t="shared" si="13"/>
        <v>#REF!</v>
      </c>
      <c r="H34" s="171" t="e">
        <f t="shared" si="13"/>
        <v>#REF!</v>
      </c>
      <c r="I34" s="172">
        <f t="shared" si="13"/>
        <v>11564</v>
      </c>
      <c r="J34" s="172" t="e">
        <f t="shared" si="13"/>
        <v>#REF!</v>
      </c>
      <c r="K34" s="174" t="e">
        <f t="shared" si="13"/>
        <v>#REF!</v>
      </c>
      <c r="L34" s="175" t="e">
        <f t="shared" si="13"/>
        <v>#REF!</v>
      </c>
      <c r="M34" s="172" t="e">
        <f t="shared" si="13"/>
        <v>#REF!</v>
      </c>
      <c r="N34" s="172" t="e">
        <f t="shared" si="13"/>
        <v>#REF!</v>
      </c>
      <c r="O34" s="174" t="e">
        <f t="shared" si="13"/>
        <v>#REF!</v>
      </c>
      <c r="P34" s="214">
        <v>14469.77</v>
      </c>
      <c r="Q34" s="215">
        <v>14469.77</v>
      </c>
      <c r="R34" s="215">
        <v>0</v>
      </c>
      <c r="S34" s="216">
        <v>0</v>
      </c>
      <c r="T34" s="175" t="e">
        <f t="shared" si="13"/>
        <v>#REF!</v>
      </c>
      <c r="U34" s="172">
        <f t="shared" si="13"/>
        <v>4150</v>
      </c>
      <c r="V34" s="172" t="e">
        <f t="shared" si="13"/>
        <v>#REF!</v>
      </c>
      <c r="W34" s="174" t="e">
        <f t="shared" si="13"/>
        <v>#REF!</v>
      </c>
    </row>
    <row r="35" spans="1:23" ht="15.75" x14ac:dyDescent="0.25">
      <c r="B35" s="70">
        <v>1</v>
      </c>
      <c r="C35" s="84" t="s">
        <v>182</v>
      </c>
      <c r="D35" s="72" t="e">
        <f>SUM(E35:G35)</f>
        <v>#REF!</v>
      </c>
      <c r="E35" s="73">
        <v>2306</v>
      </c>
      <c r="F35" s="73" t="e">
        <f>'[5]2. Propagácia a marketing'!#REF!</f>
        <v>#REF!</v>
      </c>
      <c r="G35" s="74" t="e">
        <f>'[5]2. Propagácia a marketing'!#REF!</f>
        <v>#REF!</v>
      </c>
      <c r="H35" s="72" t="e">
        <f>SUM(I35:K35)</f>
        <v>#REF!</v>
      </c>
      <c r="I35" s="73">
        <v>9757</v>
      </c>
      <c r="J35" s="73" t="e">
        <f>'[5]2. Propagácia a marketing'!#REF!</f>
        <v>#REF!</v>
      </c>
      <c r="K35" s="75" t="e">
        <f>'[5]2. Propagácia a marketing'!#REF!</f>
        <v>#REF!</v>
      </c>
      <c r="L35" s="76" t="e">
        <f>SUM(M35:O35)</f>
        <v>#REF!</v>
      </c>
      <c r="M35" s="73" t="e">
        <f>'[5]2. Propagácia a marketing'!#REF!</f>
        <v>#REF!</v>
      </c>
      <c r="N35" s="73" t="e">
        <f>'[5]2. Propagácia a marketing'!#REF!</f>
        <v>#REF!</v>
      </c>
      <c r="O35" s="75" t="e">
        <f>'[5]2. Propagácia a marketing'!#REF!</f>
        <v>#REF!</v>
      </c>
      <c r="P35" s="214">
        <v>13379.77</v>
      </c>
      <c r="Q35" s="217">
        <v>13379.77</v>
      </c>
      <c r="R35" s="217">
        <v>0</v>
      </c>
      <c r="S35" s="218">
        <v>0</v>
      </c>
      <c r="T35" s="76">
        <f>SUM(U35:W35)</f>
        <v>3580</v>
      </c>
      <c r="U35" s="73">
        <f>'[5]2. Propagácia a marketing'!$H$32</f>
        <v>3580</v>
      </c>
      <c r="V35" s="73">
        <f>'[5]2. Propagácia a marketing'!$I$32</f>
        <v>0</v>
      </c>
      <c r="W35" s="75">
        <f>'[5]2. Propagácia a marketing'!$J$32</f>
        <v>0</v>
      </c>
    </row>
    <row r="36" spans="1:23" ht="15.75" x14ac:dyDescent="0.25">
      <c r="B36" s="70">
        <v>2</v>
      </c>
      <c r="C36" s="84" t="s">
        <v>183</v>
      </c>
      <c r="D36" s="72" t="e">
        <f>SUM(E36:G36)</f>
        <v>#REF!</v>
      </c>
      <c r="E36" s="73">
        <v>1449</v>
      </c>
      <c r="F36" s="73" t="e">
        <f>'[5]2. Propagácia a marketing'!#REF!</f>
        <v>#REF!</v>
      </c>
      <c r="G36" s="74" t="e">
        <f>'[5]2. Propagácia a marketing'!#REF!</f>
        <v>#REF!</v>
      </c>
      <c r="H36" s="72" t="e">
        <f>SUM(I36:K36)</f>
        <v>#REF!</v>
      </c>
      <c r="I36" s="73">
        <v>1807</v>
      </c>
      <c r="J36" s="73" t="e">
        <f>'[5]2. Propagácia a marketing'!#REF!</f>
        <v>#REF!</v>
      </c>
      <c r="K36" s="75" t="e">
        <f>'[5]2. Propagácia a marketing'!#REF!</f>
        <v>#REF!</v>
      </c>
      <c r="L36" s="76" t="e">
        <f>SUM(M36:O36)</f>
        <v>#REF!</v>
      </c>
      <c r="M36" s="73" t="e">
        <f>'[5]2. Propagácia a marketing'!#REF!</f>
        <v>#REF!</v>
      </c>
      <c r="N36" s="73" t="e">
        <f>'[5]2. Propagácia a marketing'!#REF!</f>
        <v>#REF!</v>
      </c>
      <c r="O36" s="75" t="e">
        <f>'[5]2. Propagácia a marketing'!#REF!</f>
        <v>#REF!</v>
      </c>
      <c r="P36" s="214">
        <v>1090</v>
      </c>
      <c r="Q36" s="217">
        <v>1090</v>
      </c>
      <c r="R36" s="217">
        <v>0</v>
      </c>
      <c r="S36" s="218">
        <v>0</v>
      </c>
      <c r="T36" s="76" t="e">
        <f>SUM(U36:W36)</f>
        <v>#REF!</v>
      </c>
      <c r="U36" s="73">
        <f>'[5]2. Propagácia a marketing'!$H$54</f>
        <v>570</v>
      </c>
      <c r="V36" s="73" t="e">
        <f>'[5]2. Propagácia a marketing'!$I$54</f>
        <v>#REF!</v>
      </c>
      <c r="W36" s="75" t="e">
        <f>'[5]2. Propagácia a marketing'!$J$54</f>
        <v>#REF!</v>
      </c>
    </row>
    <row r="37" spans="1:23" ht="16.5" thickBot="1" x14ac:dyDescent="0.3">
      <c r="A37" s="85"/>
      <c r="B37" s="176" t="s">
        <v>184</v>
      </c>
      <c r="C37" s="185" t="s">
        <v>185</v>
      </c>
      <c r="D37" s="178" t="e">
        <f>SUM(E37:G37)</f>
        <v>#REF!</v>
      </c>
      <c r="E37" s="179">
        <v>6457</v>
      </c>
      <c r="F37" s="179" t="e">
        <f>'[5]2. Propagácia a marketing'!#REF!</f>
        <v>#REF!</v>
      </c>
      <c r="G37" s="180" t="e">
        <f>'[5]2. Propagácia a marketing'!#REF!</f>
        <v>#REF!</v>
      </c>
      <c r="H37" s="186" t="e">
        <f>SUM(I37:K37)</f>
        <v>#REF!</v>
      </c>
      <c r="I37" s="181">
        <v>4354</v>
      </c>
      <c r="J37" s="181" t="e">
        <f>'[5]2. Propagácia a marketing'!#REF!</f>
        <v>#REF!</v>
      </c>
      <c r="K37" s="182" t="e">
        <f>'[5]2. Propagácia a marketing'!#REF!</f>
        <v>#REF!</v>
      </c>
      <c r="L37" s="187" t="e">
        <f>SUM(M37:O37)</f>
        <v>#REF!</v>
      </c>
      <c r="M37" s="179" t="e">
        <f>'[5]2. Propagácia a marketing'!#REF!</f>
        <v>#REF!</v>
      </c>
      <c r="N37" s="179" t="e">
        <f>'[5]2. Propagácia a marketing'!#REF!</f>
        <v>#REF!</v>
      </c>
      <c r="O37" s="188" t="e">
        <f>'[5]2. Propagácia a marketing'!#REF!</f>
        <v>#REF!</v>
      </c>
      <c r="P37" s="224">
        <v>780.02</v>
      </c>
      <c r="Q37" s="225">
        <v>780.02</v>
      </c>
      <c r="R37" s="225">
        <v>0</v>
      </c>
      <c r="S37" s="226">
        <v>0</v>
      </c>
      <c r="T37" s="187" t="e">
        <f>SUM(U37:W37)</f>
        <v>#REF!</v>
      </c>
      <c r="U37" s="179">
        <f>'[5]2. Propagácia a marketing'!$H$60</f>
        <v>1000</v>
      </c>
      <c r="V37" s="179" t="e">
        <f>'[5]2. Propagácia a marketing'!$I$60</f>
        <v>#REF!</v>
      </c>
      <c r="W37" s="188" t="e">
        <f>'[5]2. Propagácia a marketing'!$J$60</f>
        <v>#REF!</v>
      </c>
    </row>
    <row r="38" spans="1:23" s="63" customFormat="1" ht="14.25" x14ac:dyDescent="0.2">
      <c r="A38" s="91"/>
      <c r="B38" s="154" t="s">
        <v>186</v>
      </c>
      <c r="C38" s="155"/>
      <c r="D38" s="149" t="e">
        <f t="shared" ref="D38:W38" si="14">D39+D40+D41+D46+D47</f>
        <v>#REF!</v>
      </c>
      <c r="E38" s="150">
        <f t="shared" si="14"/>
        <v>271426</v>
      </c>
      <c r="F38" s="150" t="e">
        <f t="shared" si="14"/>
        <v>#REF!</v>
      </c>
      <c r="G38" s="151" t="e">
        <f t="shared" si="14"/>
        <v>#REF!</v>
      </c>
      <c r="H38" s="149" t="e">
        <f t="shared" si="14"/>
        <v>#REF!</v>
      </c>
      <c r="I38" s="150">
        <f t="shared" si="14"/>
        <v>197118</v>
      </c>
      <c r="J38" s="150" t="e">
        <f t="shared" si="14"/>
        <v>#REF!</v>
      </c>
      <c r="K38" s="152" t="e">
        <f t="shared" si="14"/>
        <v>#REF!</v>
      </c>
      <c r="L38" s="153" t="e">
        <f t="shared" si="14"/>
        <v>#REF!</v>
      </c>
      <c r="M38" s="150" t="e">
        <f t="shared" si="14"/>
        <v>#REF!</v>
      </c>
      <c r="N38" s="150" t="e">
        <f t="shared" si="14"/>
        <v>#REF!</v>
      </c>
      <c r="O38" s="152" t="e">
        <f t="shared" si="14"/>
        <v>#REF!</v>
      </c>
      <c r="P38" s="222">
        <v>238983.5</v>
      </c>
      <c r="Q38" s="223">
        <v>213988.5</v>
      </c>
      <c r="R38" s="223">
        <v>24995</v>
      </c>
      <c r="S38" s="227">
        <v>0</v>
      </c>
      <c r="T38" s="153" t="e">
        <f t="shared" si="14"/>
        <v>#REF!</v>
      </c>
      <c r="U38" s="150">
        <f t="shared" si="14"/>
        <v>75414</v>
      </c>
      <c r="V38" s="150" t="e">
        <f t="shared" si="14"/>
        <v>#REF!</v>
      </c>
      <c r="W38" s="152" t="e">
        <f t="shared" si="14"/>
        <v>#REF!</v>
      </c>
    </row>
    <row r="39" spans="1:23" ht="16.5" x14ac:dyDescent="0.3">
      <c r="A39" s="61"/>
      <c r="B39" s="169" t="s">
        <v>187</v>
      </c>
      <c r="C39" s="189" t="s">
        <v>188</v>
      </c>
      <c r="D39" s="171" t="e">
        <f>SUM(E39:G39)</f>
        <v>#REF!</v>
      </c>
      <c r="E39" s="172">
        <v>36902</v>
      </c>
      <c r="F39" s="172">
        <v>4033</v>
      </c>
      <c r="G39" s="173" t="e">
        <f>'[5]3.Interné služby'!#REF!</f>
        <v>#REF!</v>
      </c>
      <c r="H39" s="171" t="e">
        <f>SUM(I39:K39)</f>
        <v>#REF!</v>
      </c>
      <c r="I39" s="172">
        <v>22326</v>
      </c>
      <c r="J39" s="172">
        <v>5865</v>
      </c>
      <c r="K39" s="174" t="e">
        <f>'[5]3.Interné služby'!#REF!</f>
        <v>#REF!</v>
      </c>
      <c r="L39" s="175" t="e">
        <f>SUM(M39:O39)</f>
        <v>#REF!</v>
      </c>
      <c r="M39" s="172" t="e">
        <f>'[5]3.Interné služby'!#REF!</f>
        <v>#REF!</v>
      </c>
      <c r="N39" s="172" t="e">
        <f>'[5]3.Interné služby'!#REF!</f>
        <v>#REF!</v>
      </c>
      <c r="O39" s="174" t="e">
        <f>'[5]3.Interné služby'!#REF!</f>
        <v>#REF!</v>
      </c>
      <c r="P39" s="214">
        <v>27814.74</v>
      </c>
      <c r="Q39" s="215">
        <v>22025.74</v>
      </c>
      <c r="R39" s="215">
        <v>5789</v>
      </c>
      <c r="S39" s="216">
        <v>0</v>
      </c>
      <c r="T39" s="175">
        <f>SUM(U39:W39)</f>
        <v>80864</v>
      </c>
      <c r="U39" s="172">
        <f>'[5]3.Interné služby'!$H$4</f>
        <v>46864</v>
      </c>
      <c r="V39" s="172">
        <f>'[5]3.Interné služby'!$I$4</f>
        <v>34000</v>
      </c>
      <c r="W39" s="174">
        <f>'[5]3.Interné služby'!$J$4</f>
        <v>0</v>
      </c>
    </row>
    <row r="40" spans="1:23" ht="16.5" x14ac:dyDescent="0.3">
      <c r="A40" s="85"/>
      <c r="B40" s="169" t="s">
        <v>189</v>
      </c>
      <c r="C40" s="189" t="s">
        <v>190</v>
      </c>
      <c r="D40" s="171" t="e">
        <f>SUM(E40:G40)</f>
        <v>#REF!</v>
      </c>
      <c r="E40" s="172">
        <v>35806</v>
      </c>
      <c r="F40" s="172" t="e">
        <f>'[5]3.Interné služby'!#REF!</f>
        <v>#REF!</v>
      </c>
      <c r="G40" s="173" t="e">
        <f>'[5]3.Interné služby'!#REF!</f>
        <v>#REF!</v>
      </c>
      <c r="H40" s="171" t="e">
        <f>SUM(I40:K40)</f>
        <v>#REF!</v>
      </c>
      <c r="I40" s="172">
        <v>9784</v>
      </c>
      <c r="J40" s="172"/>
      <c r="K40" s="174" t="e">
        <f>'[5]3.Interné služby'!#REF!</f>
        <v>#REF!</v>
      </c>
      <c r="L40" s="175" t="e">
        <f>SUM(M40:O40)</f>
        <v>#REF!</v>
      </c>
      <c r="M40" s="172">
        <v>30256</v>
      </c>
      <c r="N40" s="172" t="e">
        <f>'[5]3.Interné služby'!#REF!</f>
        <v>#REF!</v>
      </c>
      <c r="O40" s="174" t="e">
        <f>'[5]3.Interné služby'!#REF!</f>
        <v>#REF!</v>
      </c>
      <c r="P40" s="214">
        <v>27507.78</v>
      </c>
      <c r="Q40" s="215">
        <v>27507.78</v>
      </c>
      <c r="R40" s="215">
        <v>0</v>
      </c>
      <c r="S40" s="216">
        <v>0</v>
      </c>
      <c r="T40" s="175">
        <f>SUM(U40:W40)</f>
        <v>10900</v>
      </c>
      <c r="U40" s="172">
        <f>'[5]3.Interné služby'!$H$31</f>
        <v>10900</v>
      </c>
      <c r="V40" s="172">
        <f>'[5]3.Interné služby'!$I$31</f>
        <v>0</v>
      </c>
      <c r="W40" s="174">
        <f>'[5]3.Interné služby'!$J$31</f>
        <v>0</v>
      </c>
    </row>
    <row r="41" spans="1:23" ht="16.5" x14ac:dyDescent="0.3">
      <c r="B41" s="169" t="s">
        <v>191</v>
      </c>
      <c r="C41" s="189" t="s">
        <v>192</v>
      </c>
      <c r="D41" s="171" t="e">
        <f t="shared" ref="D41:W41" si="15">SUM(D42:D45)</f>
        <v>#REF!</v>
      </c>
      <c r="E41" s="172">
        <f t="shared" si="15"/>
        <v>193704</v>
      </c>
      <c r="F41" s="172" t="e">
        <f t="shared" si="15"/>
        <v>#REF!</v>
      </c>
      <c r="G41" s="173" t="e">
        <f t="shared" si="15"/>
        <v>#REF!</v>
      </c>
      <c r="H41" s="171" t="e">
        <f t="shared" si="15"/>
        <v>#REF!</v>
      </c>
      <c r="I41" s="172">
        <f t="shared" si="15"/>
        <v>160978</v>
      </c>
      <c r="J41" s="172">
        <f t="shared" si="15"/>
        <v>46477</v>
      </c>
      <c r="K41" s="174" t="e">
        <f t="shared" si="15"/>
        <v>#REF!</v>
      </c>
      <c r="L41" s="175" t="e">
        <f t="shared" si="15"/>
        <v>#REF!</v>
      </c>
      <c r="M41" s="172" t="e">
        <f t="shared" si="15"/>
        <v>#REF!</v>
      </c>
      <c r="N41" s="172" t="e">
        <f t="shared" si="15"/>
        <v>#REF!</v>
      </c>
      <c r="O41" s="174" t="e">
        <f t="shared" si="15"/>
        <v>#REF!</v>
      </c>
      <c r="P41" s="214">
        <v>178249.2</v>
      </c>
      <c r="Q41" s="215">
        <v>159043.20000000001</v>
      </c>
      <c r="R41" s="215">
        <v>19206</v>
      </c>
      <c r="S41" s="216">
        <v>0</v>
      </c>
      <c r="T41" s="175" t="e">
        <f t="shared" si="15"/>
        <v>#REF!</v>
      </c>
      <c r="U41" s="172">
        <f t="shared" si="15"/>
        <v>12750</v>
      </c>
      <c r="V41" s="172" t="e">
        <f t="shared" si="15"/>
        <v>#REF!</v>
      </c>
      <c r="W41" s="174" t="e">
        <f t="shared" si="15"/>
        <v>#REF!</v>
      </c>
    </row>
    <row r="42" spans="1:23" ht="16.5" x14ac:dyDescent="0.3">
      <c r="B42" s="70">
        <v>1</v>
      </c>
      <c r="C42" s="92" t="s">
        <v>193</v>
      </c>
      <c r="D42" s="72" t="e">
        <f t="shared" ref="D42:D47" si="16">SUM(E42:G42)</f>
        <v>#REF!</v>
      </c>
      <c r="E42" s="73">
        <v>1492</v>
      </c>
      <c r="F42" s="73" t="e">
        <f>'[5]3.Interné služby'!#REF!</f>
        <v>#REF!</v>
      </c>
      <c r="G42" s="74" t="e">
        <f>'[5]3.Interné služby'!#REF!</f>
        <v>#REF!</v>
      </c>
      <c r="H42" s="72" t="e">
        <f t="shared" ref="H42:H47" si="17">SUM(I42:K42)</f>
        <v>#REF!</v>
      </c>
      <c r="I42" s="73">
        <v>3200</v>
      </c>
      <c r="J42" s="73">
        <v>0</v>
      </c>
      <c r="K42" s="75" t="e">
        <f>'[5]3.Interné služby'!#REF!</f>
        <v>#REF!</v>
      </c>
      <c r="L42" s="76" t="e">
        <f t="shared" ref="L42:L47" si="18">SUM(M42:O42)</f>
        <v>#REF!</v>
      </c>
      <c r="M42" s="73" t="e">
        <f>'[5]3.Interné služby'!#REF!</f>
        <v>#REF!</v>
      </c>
      <c r="N42" s="73" t="e">
        <f>'[5]3.Interné služby'!#REF!</f>
        <v>#REF!</v>
      </c>
      <c r="O42" s="75" t="e">
        <f>'[5]3.Interné služby'!#REF!</f>
        <v>#REF!</v>
      </c>
      <c r="P42" s="214">
        <v>1873.69</v>
      </c>
      <c r="Q42" s="217">
        <v>1873.69</v>
      </c>
      <c r="R42" s="217">
        <v>0</v>
      </c>
      <c r="S42" s="218">
        <v>0</v>
      </c>
      <c r="T42" s="76">
        <f t="shared" ref="T42:T47" si="19">SUM(U42:W42)</f>
        <v>3250</v>
      </c>
      <c r="U42" s="73">
        <f>'[5]3.Interné služby'!$H$37</f>
        <v>3250</v>
      </c>
      <c r="V42" s="73">
        <f>'[5]3.Interné služby'!$I$37</f>
        <v>0</v>
      </c>
      <c r="W42" s="75">
        <f>'[5]3.Interné služby'!$J$37</f>
        <v>0</v>
      </c>
    </row>
    <row r="43" spans="1:23" ht="15.75" x14ac:dyDescent="0.25">
      <c r="B43" s="70">
        <v>2</v>
      </c>
      <c r="C43" s="84" t="s">
        <v>194</v>
      </c>
      <c r="D43" s="72" t="e">
        <f t="shared" si="16"/>
        <v>#REF!</v>
      </c>
      <c r="E43" s="73">
        <v>802</v>
      </c>
      <c r="F43" s="73" t="e">
        <f>'[5]3.Interné služby'!#REF!</f>
        <v>#REF!</v>
      </c>
      <c r="G43" s="74" t="e">
        <f>'[5]3.Interné služby'!#REF!</f>
        <v>#REF!</v>
      </c>
      <c r="H43" s="72" t="e">
        <f t="shared" si="17"/>
        <v>#REF!</v>
      </c>
      <c r="I43" s="73">
        <v>569</v>
      </c>
      <c r="J43" s="73">
        <v>0</v>
      </c>
      <c r="K43" s="75" t="e">
        <f>'[5]3.Interné služby'!#REF!</f>
        <v>#REF!</v>
      </c>
      <c r="L43" s="76" t="e">
        <f t="shared" si="18"/>
        <v>#REF!</v>
      </c>
      <c r="M43" s="73">
        <v>800</v>
      </c>
      <c r="N43" s="73" t="e">
        <f>'[5]3.Interné služby'!#REF!</f>
        <v>#REF!</v>
      </c>
      <c r="O43" s="75" t="e">
        <f>'[5]3.Interné služby'!#REF!</f>
        <v>#REF!</v>
      </c>
      <c r="P43" s="214">
        <v>108.36</v>
      </c>
      <c r="Q43" s="217">
        <v>108.36</v>
      </c>
      <c r="R43" s="217">
        <v>0</v>
      </c>
      <c r="S43" s="218">
        <v>0</v>
      </c>
      <c r="T43" s="76">
        <f t="shared" si="19"/>
        <v>500</v>
      </c>
      <c r="U43" s="73">
        <f>'[5]3.Interné služby'!$H$43</f>
        <v>500</v>
      </c>
      <c r="V43" s="73">
        <f>'[5]3.Interné služby'!$I$43</f>
        <v>0</v>
      </c>
      <c r="W43" s="75">
        <f>'[5]3.Interné služby'!$J$43</f>
        <v>0</v>
      </c>
    </row>
    <row r="44" spans="1:23" ht="15.75" x14ac:dyDescent="0.25">
      <c r="B44" s="70">
        <v>3</v>
      </c>
      <c r="C44" s="84" t="s">
        <v>195</v>
      </c>
      <c r="D44" s="72" t="e">
        <f t="shared" si="16"/>
        <v>#REF!</v>
      </c>
      <c r="E44" s="73">
        <v>189803</v>
      </c>
      <c r="F44" s="73"/>
      <c r="G44" s="74" t="e">
        <f>'[5]3.Interné služby'!#REF!</f>
        <v>#REF!</v>
      </c>
      <c r="H44" s="72" t="e">
        <f t="shared" si="17"/>
        <v>#REF!</v>
      </c>
      <c r="I44" s="73">
        <v>157209</v>
      </c>
      <c r="J44" s="73">
        <v>13786</v>
      </c>
      <c r="K44" s="75" t="e">
        <f>'[5]3.Interné služby'!#REF!</f>
        <v>#REF!</v>
      </c>
      <c r="L44" s="76" t="e">
        <f t="shared" si="18"/>
        <v>#REF!</v>
      </c>
      <c r="M44" s="73" t="e">
        <f>'[5]3.Interné služby'!#REF!</f>
        <v>#REF!</v>
      </c>
      <c r="N44" s="73">
        <v>20700</v>
      </c>
      <c r="O44" s="75" t="e">
        <f>'[5]3.Interné služby'!#REF!</f>
        <v>#REF!</v>
      </c>
      <c r="P44" s="214">
        <v>155457.15</v>
      </c>
      <c r="Q44" s="217">
        <v>154761.15</v>
      </c>
      <c r="R44" s="217">
        <v>696</v>
      </c>
      <c r="S44" s="218">
        <v>0</v>
      </c>
      <c r="T44" s="76">
        <f t="shared" si="19"/>
        <v>5000</v>
      </c>
      <c r="U44" s="73">
        <f>'[6]3.Interné služby'!$Q$19</f>
        <v>5000</v>
      </c>
      <c r="V44" s="73">
        <f>'[5]3.Interné služby'!$I$47</f>
        <v>0</v>
      </c>
      <c r="W44" s="75">
        <f>'[5]3.Interné služby'!$J$47</f>
        <v>0</v>
      </c>
    </row>
    <row r="45" spans="1:23" ht="15.75" x14ac:dyDescent="0.25">
      <c r="B45" s="70">
        <v>4</v>
      </c>
      <c r="C45" s="84" t="s">
        <v>196</v>
      </c>
      <c r="D45" s="72" t="e">
        <f t="shared" si="16"/>
        <v>#REF!</v>
      </c>
      <c r="E45" s="73">
        <v>1607</v>
      </c>
      <c r="F45" s="73">
        <v>6656</v>
      </c>
      <c r="G45" s="74" t="e">
        <f>'[5]3.Interné služby'!#REF!</f>
        <v>#REF!</v>
      </c>
      <c r="H45" s="72" t="e">
        <f t="shared" si="17"/>
        <v>#REF!</v>
      </c>
      <c r="I45" s="73">
        <v>0</v>
      </c>
      <c r="J45" s="73">
        <v>32691</v>
      </c>
      <c r="K45" s="75" t="e">
        <f>'[5]3.Interné služby'!#REF!</f>
        <v>#REF!</v>
      </c>
      <c r="L45" s="76" t="e">
        <f t="shared" si="18"/>
        <v>#REF!</v>
      </c>
      <c r="M45" s="73" t="e">
        <f>'[5]3.Interné služby'!#REF!</f>
        <v>#REF!</v>
      </c>
      <c r="N45" s="73" t="e">
        <f>'[5]3.Interné služby'!#REF!</f>
        <v>#REF!</v>
      </c>
      <c r="O45" s="75" t="e">
        <f>'[5]3.Interné služby'!#REF!</f>
        <v>#REF!</v>
      </c>
      <c r="P45" s="214">
        <v>20810</v>
      </c>
      <c r="Q45" s="217">
        <v>2300</v>
      </c>
      <c r="R45" s="217">
        <v>18510</v>
      </c>
      <c r="S45" s="218">
        <v>0</v>
      </c>
      <c r="T45" s="76" t="e">
        <f t="shared" si="19"/>
        <v>#REF!</v>
      </c>
      <c r="U45" s="73">
        <f>'[5]3.Interné služby'!$H$99</f>
        <v>4000</v>
      </c>
      <c r="V45" s="73" t="e">
        <f>'[5]3.Interné služby'!$I$99</f>
        <v>#REF!</v>
      </c>
      <c r="W45" s="75" t="e">
        <f>'[5]3.Interné služby'!$J$99</f>
        <v>#REF!</v>
      </c>
    </row>
    <row r="46" spans="1:23" ht="16.5" x14ac:dyDescent="0.3">
      <c r="B46" s="169" t="s">
        <v>197</v>
      </c>
      <c r="C46" s="189" t="s">
        <v>198</v>
      </c>
      <c r="D46" s="171" t="e">
        <f t="shared" si="16"/>
        <v>#REF!</v>
      </c>
      <c r="E46" s="172">
        <v>1736</v>
      </c>
      <c r="F46" s="172" t="e">
        <f>'[5]3.Interné služby'!#REF!</f>
        <v>#REF!</v>
      </c>
      <c r="G46" s="173" t="e">
        <f>'[5]3.Interné služby'!#REF!</f>
        <v>#REF!</v>
      </c>
      <c r="H46" s="171" t="e">
        <f t="shared" si="17"/>
        <v>#REF!</v>
      </c>
      <c r="I46" s="172">
        <v>2400</v>
      </c>
      <c r="J46" s="172" t="e">
        <f>'[5]3.Interné služby'!#REF!</f>
        <v>#REF!</v>
      </c>
      <c r="K46" s="174" t="e">
        <f>'[5]3.Interné služby'!#REF!</f>
        <v>#REF!</v>
      </c>
      <c r="L46" s="175" t="e">
        <f t="shared" si="18"/>
        <v>#REF!</v>
      </c>
      <c r="M46" s="172">
        <v>3900</v>
      </c>
      <c r="N46" s="172" t="e">
        <f>'[5]3.Interné služby'!#REF!</f>
        <v>#REF!</v>
      </c>
      <c r="O46" s="174" t="e">
        <f>'[5]3.Interné služby'!#REF!</f>
        <v>#REF!</v>
      </c>
      <c r="P46" s="214">
        <v>4017.4</v>
      </c>
      <c r="Q46" s="215">
        <v>4017.4</v>
      </c>
      <c r="R46" s="215">
        <v>0</v>
      </c>
      <c r="S46" s="216">
        <v>0</v>
      </c>
      <c r="T46" s="175" t="e">
        <f t="shared" si="19"/>
        <v>#REF!</v>
      </c>
      <c r="U46" s="172">
        <f>'[5]3.Interné služby'!$H$101</f>
        <v>3700</v>
      </c>
      <c r="V46" s="172" t="e">
        <f>'[5]3.Interné služby'!$I$102</f>
        <v>#REF!</v>
      </c>
      <c r="W46" s="174" t="e">
        <f>'[5]3.Interné služby'!$J$102</f>
        <v>#REF!</v>
      </c>
    </row>
    <row r="47" spans="1:23" ht="17.25" thickBot="1" x14ac:dyDescent="0.35">
      <c r="B47" s="190" t="s">
        <v>199</v>
      </c>
      <c r="C47" s="191" t="s">
        <v>200</v>
      </c>
      <c r="D47" s="178" t="e">
        <f t="shared" si="16"/>
        <v>#REF!</v>
      </c>
      <c r="E47" s="179">
        <v>3278</v>
      </c>
      <c r="F47" s="179" t="e">
        <f>'[5]3.Interné služby'!#REF!</f>
        <v>#REF!</v>
      </c>
      <c r="G47" s="180" t="e">
        <f>'[5]3.Interné služby'!#REF!</f>
        <v>#REF!</v>
      </c>
      <c r="H47" s="186" t="e">
        <f t="shared" si="17"/>
        <v>#REF!</v>
      </c>
      <c r="I47" s="181">
        <v>1630</v>
      </c>
      <c r="J47" s="181" t="e">
        <f>'[5]3.Interné služby'!#REF!</f>
        <v>#REF!</v>
      </c>
      <c r="K47" s="182" t="e">
        <f>'[5]3.Interné služby'!#REF!</f>
        <v>#REF!</v>
      </c>
      <c r="L47" s="187" t="e">
        <f t="shared" si="18"/>
        <v>#REF!</v>
      </c>
      <c r="M47" s="179" t="e">
        <f>'[5]3.Interné služby'!#REF!</f>
        <v>#REF!</v>
      </c>
      <c r="N47" s="179" t="e">
        <f>'[5]3.Interné služby'!#REF!</f>
        <v>#REF!</v>
      </c>
      <c r="O47" s="188" t="e">
        <f>'[5]3.Interné služby'!#REF!</f>
        <v>#REF!</v>
      </c>
      <c r="P47" s="224">
        <v>1394.38</v>
      </c>
      <c r="Q47" s="225">
        <v>1394.38</v>
      </c>
      <c r="R47" s="225">
        <v>0</v>
      </c>
      <c r="S47" s="226">
        <v>0</v>
      </c>
      <c r="T47" s="187" t="e">
        <f t="shared" si="19"/>
        <v>#REF!</v>
      </c>
      <c r="U47" s="179">
        <f>'[5]3.Interné služby'!$H$108</f>
        <v>1200</v>
      </c>
      <c r="V47" s="179" t="e">
        <f>'[5]3.Interné služby'!$I$108</f>
        <v>#REF!</v>
      </c>
      <c r="W47" s="188" t="e">
        <f>'[5]3.Interné služby'!$J$108</f>
        <v>#REF!</v>
      </c>
    </row>
    <row r="48" spans="1:23" s="63" customFormat="1" ht="14.25" x14ac:dyDescent="0.2">
      <c r="B48" s="156" t="s">
        <v>201</v>
      </c>
      <c r="C48" s="157"/>
      <c r="D48" s="149" t="e">
        <f t="shared" ref="D48:J48" si="20">D49+D50+D53</f>
        <v>#REF!</v>
      </c>
      <c r="E48" s="150" t="e">
        <f t="shared" si="20"/>
        <v>#REF!</v>
      </c>
      <c r="F48" s="150" t="e">
        <f t="shared" si="20"/>
        <v>#REF!</v>
      </c>
      <c r="G48" s="151" t="e">
        <f t="shared" si="20"/>
        <v>#REF!</v>
      </c>
      <c r="H48" s="149" t="e">
        <f>H49+H50+H53-1</f>
        <v>#REF!</v>
      </c>
      <c r="I48" s="150" t="e">
        <f>I49+I50+I53-1</f>
        <v>#REF!</v>
      </c>
      <c r="J48" s="150">
        <f t="shared" si="20"/>
        <v>0</v>
      </c>
      <c r="K48" s="152" t="e">
        <f>K49+K53</f>
        <v>#REF!</v>
      </c>
      <c r="L48" s="153" t="e">
        <f t="shared" ref="L48:W48" si="21">L49+L50+L53</f>
        <v>#REF!</v>
      </c>
      <c r="M48" s="150" t="e">
        <f t="shared" si="21"/>
        <v>#REF!</v>
      </c>
      <c r="N48" s="150" t="e">
        <f t="shared" si="21"/>
        <v>#REF!</v>
      </c>
      <c r="O48" s="152" t="e">
        <f t="shared" si="21"/>
        <v>#REF!</v>
      </c>
      <c r="P48" s="222">
        <v>24336.959999999999</v>
      </c>
      <c r="Q48" s="223">
        <v>24336.959999999999</v>
      </c>
      <c r="R48" s="223">
        <v>0</v>
      </c>
      <c r="S48" s="227">
        <v>0</v>
      </c>
      <c r="T48" s="153" t="e">
        <f t="shared" si="21"/>
        <v>#REF!</v>
      </c>
      <c r="U48" s="150">
        <f t="shared" si="21"/>
        <v>32547</v>
      </c>
      <c r="V48" s="150" t="e">
        <f t="shared" si="21"/>
        <v>#REF!</v>
      </c>
      <c r="W48" s="152" t="e">
        <f t="shared" si="21"/>
        <v>#REF!</v>
      </c>
    </row>
    <row r="49" spans="1:23" ht="16.5" x14ac:dyDescent="0.3">
      <c r="B49" s="169" t="s">
        <v>202</v>
      </c>
      <c r="C49" s="189" t="s">
        <v>203</v>
      </c>
      <c r="D49" s="171" t="e">
        <f>SUM(E49:G49)</f>
        <v>#REF!</v>
      </c>
      <c r="E49" s="172">
        <v>15307.52</v>
      </c>
      <c r="F49" s="172" t="e">
        <f>'[5]4.Služby občanov'!#REF!</f>
        <v>#REF!</v>
      </c>
      <c r="G49" s="173" t="e">
        <f>'[5]4.Služby občanov'!#REF!</f>
        <v>#REF!</v>
      </c>
      <c r="H49" s="171" t="e">
        <f>SUM(I49:K49)</f>
        <v>#REF!</v>
      </c>
      <c r="I49" s="172">
        <v>26456</v>
      </c>
      <c r="J49" s="172">
        <v>0</v>
      </c>
      <c r="K49" s="174" t="e">
        <f>'[5]4.Služby občanov'!#REF!</f>
        <v>#REF!</v>
      </c>
      <c r="L49" s="175" t="e">
        <f>SUM(M49:O49)</f>
        <v>#REF!</v>
      </c>
      <c r="M49" s="172" t="e">
        <f>'[5]4.Služby občanov'!#REF!</f>
        <v>#REF!</v>
      </c>
      <c r="N49" s="172" t="e">
        <f>'[5]4.Služby občanov'!#REF!</f>
        <v>#REF!</v>
      </c>
      <c r="O49" s="174" t="e">
        <f>'[5]4.Služby občanov'!#REF!</f>
        <v>#REF!</v>
      </c>
      <c r="P49" s="214">
        <v>8958.27</v>
      </c>
      <c r="Q49" s="215">
        <v>8958.27</v>
      </c>
      <c r="R49" s="215">
        <v>0</v>
      </c>
      <c r="S49" s="216">
        <v>0</v>
      </c>
      <c r="T49" s="175">
        <f>SUM(U49:W49)</f>
        <v>15600</v>
      </c>
      <c r="U49" s="172">
        <f>'[5]4.Služby občanov'!$H$4</f>
        <v>15600</v>
      </c>
      <c r="V49" s="172">
        <f>'[5]4.Služby občanov'!$I$4</f>
        <v>0</v>
      </c>
      <c r="W49" s="174">
        <f>'[5]4.Služby občanov'!$J$4</f>
        <v>0</v>
      </c>
    </row>
    <row r="50" spans="1:23" ht="15.75" x14ac:dyDescent="0.25">
      <c r="A50" s="93"/>
      <c r="B50" s="169" t="s">
        <v>204</v>
      </c>
      <c r="C50" s="184" t="s">
        <v>205</v>
      </c>
      <c r="D50" s="171" t="e">
        <f t="shared" ref="D50:W50" si="22">SUM(D51:D52)</f>
        <v>#REF!</v>
      </c>
      <c r="E50" s="172">
        <f t="shared" si="22"/>
        <v>23245.5</v>
      </c>
      <c r="F50" s="172" t="e">
        <f t="shared" si="22"/>
        <v>#REF!</v>
      </c>
      <c r="G50" s="173" t="e">
        <f t="shared" si="22"/>
        <v>#REF!</v>
      </c>
      <c r="H50" s="171" t="e">
        <f t="shared" si="22"/>
        <v>#REF!</v>
      </c>
      <c r="I50" s="172" t="e">
        <f t="shared" si="22"/>
        <v>#REF!</v>
      </c>
      <c r="J50" s="172">
        <f t="shared" si="22"/>
        <v>0</v>
      </c>
      <c r="K50" s="174" t="e">
        <f t="shared" si="22"/>
        <v>#REF!</v>
      </c>
      <c r="L50" s="175" t="e">
        <f t="shared" si="22"/>
        <v>#REF!</v>
      </c>
      <c r="M50" s="172" t="e">
        <f t="shared" si="22"/>
        <v>#REF!</v>
      </c>
      <c r="N50" s="172" t="e">
        <f t="shared" si="22"/>
        <v>#REF!</v>
      </c>
      <c r="O50" s="174" t="e">
        <f t="shared" si="22"/>
        <v>#REF!</v>
      </c>
      <c r="P50" s="214">
        <v>15378.69</v>
      </c>
      <c r="Q50" s="215">
        <v>15378.69</v>
      </c>
      <c r="R50" s="215">
        <v>0</v>
      </c>
      <c r="S50" s="216">
        <v>0</v>
      </c>
      <c r="T50" s="175" t="e">
        <f t="shared" si="22"/>
        <v>#REF!</v>
      </c>
      <c r="U50" s="172">
        <f t="shared" si="22"/>
        <v>16937</v>
      </c>
      <c r="V50" s="172" t="e">
        <f t="shared" si="22"/>
        <v>#REF!</v>
      </c>
      <c r="W50" s="174" t="e">
        <f t="shared" si="22"/>
        <v>#REF!</v>
      </c>
    </row>
    <row r="51" spans="1:23" ht="15.75" x14ac:dyDescent="0.25">
      <c r="A51" s="93"/>
      <c r="B51" s="70">
        <v>1</v>
      </c>
      <c r="C51" s="84" t="s">
        <v>206</v>
      </c>
      <c r="D51" s="72" t="e">
        <f>SUM(E51:G51)</f>
        <v>#REF!</v>
      </c>
      <c r="E51" s="73">
        <v>23245.5</v>
      </c>
      <c r="F51" s="73" t="e">
        <f>'[5]4.Služby občanov'!#REF!</f>
        <v>#REF!</v>
      </c>
      <c r="G51" s="74" t="e">
        <f>'[5]4.Služby občanov'!#REF!</f>
        <v>#REF!</v>
      </c>
      <c r="H51" s="72" t="e">
        <f>SUM(I51:K51)</f>
        <v>#REF!</v>
      </c>
      <c r="I51" s="73">
        <v>14579</v>
      </c>
      <c r="J51" s="73">
        <v>0</v>
      </c>
      <c r="K51" s="75" t="e">
        <f>'[5]4.Služby občanov'!#REF!</f>
        <v>#REF!</v>
      </c>
      <c r="L51" s="76" t="e">
        <f>SUM(M51:O51)</f>
        <v>#REF!</v>
      </c>
      <c r="M51" s="73" t="e">
        <f>'[5]4.Služby občanov'!#REF!</f>
        <v>#REF!</v>
      </c>
      <c r="N51" s="73" t="e">
        <f>'[5]4.Služby občanov'!#REF!</f>
        <v>#REF!</v>
      </c>
      <c r="O51" s="75" t="e">
        <f>'[5]4.Služby občanov'!#REF!</f>
        <v>#REF!</v>
      </c>
      <c r="P51" s="214">
        <v>15378.69</v>
      </c>
      <c r="Q51" s="228">
        <v>15378.69</v>
      </c>
      <c r="R51" s="228">
        <v>0</v>
      </c>
      <c r="S51" s="229">
        <v>0</v>
      </c>
      <c r="T51" s="76">
        <f>SUM(U51:W51)</f>
        <v>16737</v>
      </c>
      <c r="U51" s="73">
        <f>'[5]4.Služby občanov'!$H$18</f>
        <v>16737</v>
      </c>
      <c r="V51" s="73">
        <f>'[5]4.Služby občanov'!$I$18</f>
        <v>0</v>
      </c>
      <c r="W51" s="75">
        <f>'[5]4.Služby občanov'!$J$18</f>
        <v>0</v>
      </c>
    </row>
    <row r="52" spans="1:23" ht="15.75" x14ac:dyDescent="0.25">
      <c r="A52" s="93"/>
      <c r="B52" s="70">
        <v>2</v>
      </c>
      <c r="C52" s="84" t="s">
        <v>207</v>
      </c>
      <c r="D52" s="72" t="e">
        <f>SUM(E52:G52)</f>
        <v>#REF!</v>
      </c>
      <c r="E52" s="73">
        <v>0</v>
      </c>
      <c r="F52" s="73" t="e">
        <f>'[5]4.Služby občanov'!#REF!</f>
        <v>#REF!</v>
      </c>
      <c r="G52" s="74" t="e">
        <f>'[5]4.Služby občanov'!#REF!</f>
        <v>#REF!</v>
      </c>
      <c r="H52" s="72" t="e">
        <f>SUM(I52:K52)</f>
        <v>#REF!</v>
      </c>
      <c r="I52" s="73" t="e">
        <f>'[5]4.Služby občanov'!#REF!</f>
        <v>#REF!</v>
      </c>
      <c r="J52" s="73">
        <v>0</v>
      </c>
      <c r="K52" s="75" t="e">
        <f>'[5]4.Služby občanov'!#REF!</f>
        <v>#REF!</v>
      </c>
      <c r="L52" s="76" t="e">
        <f>SUM(M52:O52)</f>
        <v>#REF!</v>
      </c>
      <c r="M52" s="73" t="e">
        <f>'[5]4.Služby občanov'!#REF!</f>
        <v>#REF!</v>
      </c>
      <c r="N52" s="73" t="e">
        <f>'[5]4.Služby občanov'!#REF!</f>
        <v>#REF!</v>
      </c>
      <c r="O52" s="75" t="e">
        <f>'[5]4.Služby občanov'!#REF!</f>
        <v>#REF!</v>
      </c>
      <c r="P52" s="214">
        <v>0</v>
      </c>
      <c r="Q52" s="228">
        <v>0</v>
      </c>
      <c r="R52" s="228">
        <v>0</v>
      </c>
      <c r="S52" s="229">
        <v>0</v>
      </c>
      <c r="T52" s="76" t="e">
        <f>SUM(U52:W52)</f>
        <v>#REF!</v>
      </c>
      <c r="U52" s="73">
        <f>'[5]4.Služby občanov'!$H$26</f>
        <v>200</v>
      </c>
      <c r="V52" s="73" t="e">
        <f>'[5]4.Služby občanov'!$I$26</f>
        <v>#REF!</v>
      </c>
      <c r="W52" s="75" t="e">
        <f>'[5]4.Služby občanov'!$J$26</f>
        <v>#REF!</v>
      </c>
    </row>
    <row r="53" spans="1:23" ht="16.5" thickBot="1" x14ac:dyDescent="0.3">
      <c r="A53" s="93"/>
      <c r="B53" s="192" t="s">
        <v>208</v>
      </c>
      <c r="C53" s="185" t="s">
        <v>209</v>
      </c>
      <c r="D53" s="178" t="e">
        <f>SUM(E53:G53)</f>
        <v>#REF!</v>
      </c>
      <c r="E53" s="179" t="e">
        <f>'[5]4.Služby občanov'!#REF!</f>
        <v>#REF!</v>
      </c>
      <c r="F53" s="179" t="e">
        <f>'[5]4.Služby občanov'!#REF!</f>
        <v>#REF!</v>
      </c>
      <c r="G53" s="180" t="e">
        <f>'[5]4.Služby občanov'!#REF!</f>
        <v>#REF!</v>
      </c>
      <c r="H53" s="186" t="e">
        <f>SUM(I53:K53)</f>
        <v>#REF!</v>
      </c>
      <c r="I53" s="181">
        <v>0</v>
      </c>
      <c r="J53" s="181">
        <v>0</v>
      </c>
      <c r="K53" s="182" t="e">
        <f>'[5]4.Služby občanov'!#REF!</f>
        <v>#REF!</v>
      </c>
      <c r="L53" s="187" t="e">
        <f>SUM(M53:O53)</f>
        <v>#REF!</v>
      </c>
      <c r="M53" s="179" t="e">
        <f>'[5]4.Služby občanov'!#REF!</f>
        <v>#REF!</v>
      </c>
      <c r="N53" s="179" t="e">
        <f>'[5]4.Služby občanov'!#REF!</f>
        <v>#REF!</v>
      </c>
      <c r="O53" s="188" t="e">
        <f>'[5]4.Služby občanov'!#REF!</f>
        <v>#REF!</v>
      </c>
      <c r="P53" s="224">
        <v>0</v>
      </c>
      <c r="Q53" s="230">
        <v>0</v>
      </c>
      <c r="R53" s="230">
        <v>0</v>
      </c>
      <c r="S53" s="231">
        <v>0</v>
      </c>
      <c r="T53" s="187" t="e">
        <f>SUM(U53:W53)</f>
        <v>#REF!</v>
      </c>
      <c r="U53" s="179">
        <f>'[5]4.Služby občanov'!$H$28</f>
        <v>10</v>
      </c>
      <c r="V53" s="179" t="e">
        <f>'[5]4.Služby občanov'!$I$28</f>
        <v>#REF!</v>
      </c>
      <c r="W53" s="188" t="e">
        <f>'[5]4.Služby občanov'!$J$28</f>
        <v>#REF!</v>
      </c>
    </row>
    <row r="54" spans="1:23" s="63" customFormat="1" ht="14.25" x14ac:dyDescent="0.2">
      <c r="A54" s="93"/>
      <c r="B54" s="154" t="s">
        <v>210</v>
      </c>
      <c r="C54" s="158"/>
      <c r="D54" s="149" t="e">
        <f t="shared" ref="D54:W54" si="23">D55+D60+D61+D62+D67</f>
        <v>#REF!</v>
      </c>
      <c r="E54" s="150" t="e">
        <f t="shared" si="23"/>
        <v>#REF!</v>
      </c>
      <c r="F54" s="150" t="e">
        <f t="shared" si="23"/>
        <v>#REF!</v>
      </c>
      <c r="G54" s="151" t="e">
        <f t="shared" si="23"/>
        <v>#REF!</v>
      </c>
      <c r="H54" s="149" t="e">
        <f t="shared" si="23"/>
        <v>#REF!</v>
      </c>
      <c r="I54" s="150" t="e">
        <f t="shared" si="23"/>
        <v>#REF!</v>
      </c>
      <c r="J54" s="150" t="e">
        <f t="shared" si="23"/>
        <v>#REF!</v>
      </c>
      <c r="K54" s="152" t="e">
        <f t="shared" si="23"/>
        <v>#REF!</v>
      </c>
      <c r="L54" s="153" t="e">
        <f t="shared" si="23"/>
        <v>#REF!</v>
      </c>
      <c r="M54" s="150" t="e">
        <f t="shared" si="23"/>
        <v>#REF!</v>
      </c>
      <c r="N54" s="150" t="e">
        <f t="shared" si="23"/>
        <v>#REF!</v>
      </c>
      <c r="O54" s="152" t="e">
        <f t="shared" si="23"/>
        <v>#REF!</v>
      </c>
      <c r="P54" s="222">
        <v>667835.55000000005</v>
      </c>
      <c r="Q54" s="223">
        <v>666135.55000000005</v>
      </c>
      <c r="R54" s="223">
        <v>1700</v>
      </c>
      <c r="S54" s="227">
        <v>0</v>
      </c>
      <c r="T54" s="153" t="e">
        <f t="shared" si="23"/>
        <v>#REF!</v>
      </c>
      <c r="U54" s="150" t="e">
        <f t="shared" si="23"/>
        <v>#REF!</v>
      </c>
      <c r="V54" s="150" t="e">
        <f t="shared" si="23"/>
        <v>#REF!</v>
      </c>
      <c r="W54" s="152" t="e">
        <f t="shared" si="23"/>
        <v>#REF!</v>
      </c>
    </row>
    <row r="55" spans="1:23" ht="15.75" x14ac:dyDescent="0.25">
      <c r="A55" s="93"/>
      <c r="B55" s="193" t="s">
        <v>211</v>
      </c>
      <c r="C55" s="184" t="s">
        <v>212</v>
      </c>
      <c r="D55" s="171" t="e">
        <f t="shared" ref="D55:W55" si="24">SUM(D56:D59)</f>
        <v>#REF!</v>
      </c>
      <c r="E55" s="172">
        <f t="shared" si="24"/>
        <v>496158.19</v>
      </c>
      <c r="F55" s="172" t="e">
        <f t="shared" si="24"/>
        <v>#REF!</v>
      </c>
      <c r="G55" s="173" t="e">
        <f t="shared" si="24"/>
        <v>#REF!</v>
      </c>
      <c r="H55" s="171" t="e">
        <f t="shared" si="24"/>
        <v>#REF!</v>
      </c>
      <c r="I55" s="172">
        <f t="shared" si="24"/>
        <v>480129.99</v>
      </c>
      <c r="J55" s="172" t="e">
        <f t="shared" si="24"/>
        <v>#REF!</v>
      </c>
      <c r="K55" s="174" t="e">
        <f t="shared" si="24"/>
        <v>#REF!</v>
      </c>
      <c r="L55" s="175" t="e">
        <f t="shared" si="24"/>
        <v>#REF!</v>
      </c>
      <c r="M55" s="172" t="e">
        <f t="shared" si="24"/>
        <v>#REF!</v>
      </c>
      <c r="N55" s="172" t="e">
        <f t="shared" si="24"/>
        <v>#REF!</v>
      </c>
      <c r="O55" s="174" t="e">
        <f t="shared" si="24"/>
        <v>#REF!</v>
      </c>
      <c r="P55" s="214">
        <v>463317.1</v>
      </c>
      <c r="Q55" s="215">
        <v>461617.1</v>
      </c>
      <c r="R55" s="215">
        <v>1700</v>
      </c>
      <c r="S55" s="216">
        <v>0</v>
      </c>
      <c r="T55" s="175" t="e">
        <f t="shared" si="24"/>
        <v>#REF!</v>
      </c>
      <c r="U55" s="172">
        <f t="shared" si="24"/>
        <v>468983</v>
      </c>
      <c r="V55" s="172">
        <f t="shared" si="24"/>
        <v>6100</v>
      </c>
      <c r="W55" s="174" t="e">
        <f t="shared" si="24"/>
        <v>#REF!</v>
      </c>
    </row>
    <row r="56" spans="1:23" ht="15.75" x14ac:dyDescent="0.25">
      <c r="A56" s="93"/>
      <c r="B56" s="70">
        <v>1</v>
      </c>
      <c r="C56" s="84" t="s">
        <v>213</v>
      </c>
      <c r="D56" s="72" t="e">
        <f t="shared" ref="D56:D61" si="25">SUM(E56:G56)</f>
        <v>#REF!</v>
      </c>
      <c r="E56" s="73">
        <v>350478.7</v>
      </c>
      <c r="F56" s="73">
        <v>9811</v>
      </c>
      <c r="G56" s="74" t="e">
        <f>'[5]5.Bezpečnosť, právo a por.'!#REF!</f>
        <v>#REF!</v>
      </c>
      <c r="H56" s="72" t="e">
        <f t="shared" ref="H56:H66" si="26">SUM(I56:K56)</f>
        <v>#REF!</v>
      </c>
      <c r="I56" s="73">
        <v>339635.49</v>
      </c>
      <c r="J56" s="73">
        <v>10809</v>
      </c>
      <c r="K56" s="75" t="e">
        <f>'[5]5.Bezpečnosť, právo a por.'!#REF!</f>
        <v>#REF!</v>
      </c>
      <c r="L56" s="76" t="e">
        <f t="shared" ref="L56:L61" si="27">SUM(M56:O56)</f>
        <v>#REF!</v>
      </c>
      <c r="M56" s="73" t="e">
        <f>'[5]5.Bezpečnosť, právo a por.'!#REF!</f>
        <v>#REF!</v>
      </c>
      <c r="N56" s="73" t="e">
        <f>'[5]5.Bezpečnosť, právo a por.'!#REF!</f>
        <v>#REF!</v>
      </c>
      <c r="O56" s="75" t="e">
        <f>'[5]5.Bezpečnosť, právo a por.'!#REF!</f>
        <v>#REF!</v>
      </c>
      <c r="P56" s="214">
        <v>326420.21000000002</v>
      </c>
      <c r="Q56" s="217">
        <v>324720.21000000002</v>
      </c>
      <c r="R56" s="217">
        <v>1700</v>
      </c>
      <c r="S56" s="218">
        <v>0</v>
      </c>
      <c r="T56" s="76">
        <f t="shared" ref="T56:T61" si="28">SUM(U56:W56)</f>
        <v>326718</v>
      </c>
      <c r="U56" s="73">
        <f>'[5]5.Bezpečnosť, právo a por.'!$H$5</f>
        <v>326718</v>
      </c>
      <c r="V56" s="73">
        <f>'[5]5.Bezpečnosť, právo a por.'!$I$5</f>
        <v>0</v>
      </c>
      <c r="W56" s="75">
        <f>'[5]5.Bezpečnosť, právo a por.'!$J$5</f>
        <v>0</v>
      </c>
    </row>
    <row r="57" spans="1:23" ht="15.75" x14ac:dyDescent="0.25">
      <c r="B57" s="70">
        <v>2</v>
      </c>
      <c r="C57" s="84" t="s">
        <v>214</v>
      </c>
      <c r="D57" s="72" t="e">
        <f t="shared" si="25"/>
        <v>#REF!</v>
      </c>
      <c r="E57" s="73">
        <v>69112.490000000005</v>
      </c>
      <c r="F57" s="73"/>
      <c r="G57" s="74" t="e">
        <f>'[5]5.Bezpečnosť, právo a por.'!#REF!</f>
        <v>#REF!</v>
      </c>
      <c r="H57" s="72" t="e">
        <f t="shared" si="26"/>
        <v>#REF!</v>
      </c>
      <c r="I57" s="73">
        <v>62503.5</v>
      </c>
      <c r="J57" s="73">
        <v>17528</v>
      </c>
      <c r="K57" s="75" t="e">
        <f>'[5]5.Bezpečnosť, právo a por.'!#REF!</f>
        <v>#REF!</v>
      </c>
      <c r="L57" s="76" t="e">
        <f t="shared" si="27"/>
        <v>#REF!</v>
      </c>
      <c r="M57" s="73" t="e">
        <f>'[5]5.Bezpečnosť, právo a por.'!#REF!</f>
        <v>#REF!</v>
      </c>
      <c r="N57" s="73" t="e">
        <f>'[5]5.Bezpečnosť, právo a por.'!#REF!</f>
        <v>#REF!</v>
      </c>
      <c r="O57" s="75" t="e">
        <f>'[5]5.Bezpečnosť, právo a por.'!#REF!</f>
        <v>#REF!</v>
      </c>
      <c r="P57" s="214">
        <v>63166.06</v>
      </c>
      <c r="Q57" s="217">
        <v>63166.06</v>
      </c>
      <c r="R57" s="217">
        <v>0</v>
      </c>
      <c r="S57" s="218">
        <v>0</v>
      </c>
      <c r="T57" s="76">
        <f t="shared" si="28"/>
        <v>70911</v>
      </c>
      <c r="U57" s="73">
        <f>'[5]5.Bezpečnosť, právo a por.'!$H$49</f>
        <v>67861</v>
      </c>
      <c r="V57" s="73">
        <f>'[5]5.Bezpečnosť, právo a por.'!$I$49</f>
        <v>3050</v>
      </c>
      <c r="W57" s="75">
        <f>'[5]5.Bezpečnosť, právo a por.'!$J$49</f>
        <v>0</v>
      </c>
    </row>
    <row r="58" spans="1:23" ht="15.75" x14ac:dyDescent="0.25">
      <c r="A58" s="85"/>
      <c r="B58" s="70">
        <v>3</v>
      </c>
      <c r="C58" s="84" t="s">
        <v>215</v>
      </c>
      <c r="D58" s="72" t="e">
        <f t="shared" si="25"/>
        <v>#REF!</v>
      </c>
      <c r="E58" s="73">
        <v>37000</v>
      </c>
      <c r="F58" s="73"/>
      <c r="G58" s="74" t="e">
        <f>'[5]5.Bezpečnosť, právo a por.'!#REF!</f>
        <v>#REF!</v>
      </c>
      <c r="H58" s="72" t="e">
        <f t="shared" si="26"/>
        <v>#REF!</v>
      </c>
      <c r="I58" s="73">
        <v>37892.5</v>
      </c>
      <c r="J58" s="73">
        <v>0</v>
      </c>
      <c r="K58" s="75" t="e">
        <f>'[5]5.Bezpečnosť, právo a por.'!#REF!</f>
        <v>#REF!</v>
      </c>
      <c r="L58" s="76" t="e">
        <f t="shared" si="27"/>
        <v>#REF!</v>
      </c>
      <c r="M58" s="73" t="e">
        <f>'[5]5.Bezpečnosť, právo a por.'!#REF!</f>
        <v>#REF!</v>
      </c>
      <c r="N58" s="73" t="e">
        <f>'[5]5.Bezpečnosť, právo a por.'!#REF!</f>
        <v>#REF!</v>
      </c>
      <c r="O58" s="75" t="e">
        <f>'[5]5.Bezpečnosť, právo a por.'!#REF!</f>
        <v>#REF!</v>
      </c>
      <c r="P58" s="214">
        <v>35909.43</v>
      </c>
      <c r="Q58" s="217">
        <v>35909.43</v>
      </c>
      <c r="R58" s="217">
        <v>0</v>
      </c>
      <c r="S58" s="218">
        <v>0</v>
      </c>
      <c r="T58" s="76" t="e">
        <f t="shared" si="28"/>
        <v>#REF!</v>
      </c>
      <c r="U58" s="73">
        <f>'[5]5.Bezpečnosť, právo a por.'!$H$66</f>
        <v>36887</v>
      </c>
      <c r="V58" s="73">
        <f>'[5]5.Bezpečnosť, právo a por.'!$I$65</f>
        <v>3050</v>
      </c>
      <c r="W58" s="75" t="e">
        <f>'[5]5.Bezpečnosť, právo a por.'!$J$65</f>
        <v>#REF!</v>
      </c>
    </row>
    <row r="59" spans="1:23" ht="15.75" x14ac:dyDescent="0.25">
      <c r="A59" s="85"/>
      <c r="B59" s="70">
        <v>4</v>
      </c>
      <c r="C59" s="84" t="s">
        <v>216</v>
      </c>
      <c r="D59" s="72" t="e">
        <f t="shared" si="25"/>
        <v>#REF!</v>
      </c>
      <c r="E59" s="73">
        <v>39567</v>
      </c>
      <c r="F59" s="73" t="e">
        <f>'[5]5.Bezpečnosť, právo a por.'!#REF!</f>
        <v>#REF!</v>
      </c>
      <c r="G59" s="74" t="e">
        <f>'[5]5.Bezpečnosť, právo a por.'!#REF!</f>
        <v>#REF!</v>
      </c>
      <c r="H59" s="72" t="e">
        <f t="shared" si="26"/>
        <v>#REF!</v>
      </c>
      <c r="I59" s="73">
        <v>40098.5</v>
      </c>
      <c r="J59" s="73" t="e">
        <f>'[5]5.Bezpečnosť, právo a por.'!#REF!</f>
        <v>#REF!</v>
      </c>
      <c r="K59" s="75" t="e">
        <f>'[5]5.Bezpečnosť, právo a por.'!#REF!</f>
        <v>#REF!</v>
      </c>
      <c r="L59" s="76" t="e">
        <f t="shared" si="27"/>
        <v>#REF!</v>
      </c>
      <c r="M59" s="73" t="e">
        <f>'[5]5.Bezpečnosť, právo a por.'!#REF!</f>
        <v>#REF!</v>
      </c>
      <c r="N59" s="73" t="e">
        <f>'[5]5.Bezpečnosť, právo a por.'!#REF!</f>
        <v>#REF!</v>
      </c>
      <c r="O59" s="75" t="e">
        <f>'[5]5.Bezpečnosť, právo a por.'!#REF!</f>
        <v>#REF!</v>
      </c>
      <c r="P59" s="214">
        <v>37821.4</v>
      </c>
      <c r="Q59" s="217">
        <v>37821.4</v>
      </c>
      <c r="R59" s="217">
        <v>0</v>
      </c>
      <c r="S59" s="218">
        <v>0</v>
      </c>
      <c r="T59" s="76" t="e">
        <f t="shared" si="28"/>
        <v>#REF!</v>
      </c>
      <c r="U59" s="73">
        <f>'[5]5.Bezpečnosť, právo a por.'!$H$69</f>
        <v>37517</v>
      </c>
      <c r="V59" s="73">
        <f>'[5]5.Bezpečnosť, právo a por.'!$I$69</f>
        <v>0</v>
      </c>
      <c r="W59" s="75" t="e">
        <f>'[5]5.Bezpečnosť, právo a por.'!$J$68</f>
        <v>#REF!</v>
      </c>
    </row>
    <row r="60" spans="1:23" ht="16.5" x14ac:dyDescent="0.3">
      <c r="B60" s="193" t="s">
        <v>217</v>
      </c>
      <c r="C60" s="189" t="s">
        <v>218</v>
      </c>
      <c r="D60" s="171" t="e">
        <f t="shared" si="25"/>
        <v>#REF!</v>
      </c>
      <c r="E60" s="172" t="e">
        <f>'[5]5.Bezpečnosť, právo a por.'!#REF!</f>
        <v>#REF!</v>
      </c>
      <c r="F60" s="172" t="e">
        <f>'[5]5.Bezpečnosť, právo a por.'!#REF!</f>
        <v>#REF!</v>
      </c>
      <c r="G60" s="173" t="e">
        <f>'[5]5.Bezpečnosť, právo a por.'!#REF!</f>
        <v>#REF!</v>
      </c>
      <c r="H60" s="171" t="e">
        <f t="shared" si="26"/>
        <v>#REF!</v>
      </c>
      <c r="I60" s="172">
        <v>0</v>
      </c>
      <c r="J60" s="172">
        <v>0</v>
      </c>
      <c r="K60" s="174" t="e">
        <f>'[5]5.Bezpečnosť, právo a por.'!#REF!</f>
        <v>#REF!</v>
      </c>
      <c r="L60" s="175" t="e">
        <f t="shared" si="27"/>
        <v>#REF!</v>
      </c>
      <c r="M60" s="172" t="e">
        <f>'[5]5.Bezpečnosť, právo a por.'!#REF!</f>
        <v>#REF!</v>
      </c>
      <c r="N60" s="172" t="e">
        <f>'[5]5.Bezpečnosť, právo a por.'!#REF!</f>
        <v>#REF!</v>
      </c>
      <c r="O60" s="174" t="e">
        <f>'[5]5.Bezpečnosť, právo a por.'!#REF!</f>
        <v>#REF!</v>
      </c>
      <c r="P60" s="214">
        <v>0</v>
      </c>
      <c r="Q60" s="215">
        <v>0</v>
      </c>
      <c r="R60" s="215">
        <v>0</v>
      </c>
      <c r="S60" s="216">
        <v>0</v>
      </c>
      <c r="T60" s="175" t="e">
        <f t="shared" si="28"/>
        <v>#REF!</v>
      </c>
      <c r="U60" s="172">
        <f>'[5]5.Bezpečnosť, právo a por.'!$H$77</f>
        <v>0</v>
      </c>
      <c r="V60" s="172"/>
      <c r="W60" s="174" t="e">
        <f>'[5]5.Bezpečnosť, právo a por.'!$J$76</f>
        <v>#REF!</v>
      </c>
    </row>
    <row r="61" spans="1:23" ht="16.5" x14ac:dyDescent="0.3">
      <c r="B61" s="193" t="s">
        <v>219</v>
      </c>
      <c r="C61" s="189" t="s">
        <v>220</v>
      </c>
      <c r="D61" s="171" t="e">
        <f t="shared" si="25"/>
        <v>#REF!</v>
      </c>
      <c r="E61" s="172">
        <v>1286</v>
      </c>
      <c r="F61" s="172" t="e">
        <f>'[5]5.Bezpečnosť, právo a por.'!#REF!</f>
        <v>#REF!</v>
      </c>
      <c r="G61" s="173" t="e">
        <f>'[5]5.Bezpečnosť, právo a por.'!#REF!</f>
        <v>#REF!</v>
      </c>
      <c r="H61" s="171" t="e">
        <f t="shared" si="26"/>
        <v>#REF!</v>
      </c>
      <c r="I61" s="172">
        <v>797</v>
      </c>
      <c r="J61" s="172">
        <v>0</v>
      </c>
      <c r="K61" s="174" t="e">
        <f>'[5]5.Bezpečnosť, právo a por.'!#REF!</f>
        <v>#REF!</v>
      </c>
      <c r="L61" s="175" t="e">
        <f t="shared" si="27"/>
        <v>#REF!</v>
      </c>
      <c r="M61" s="172" t="e">
        <f>'[5]5.Bezpečnosť, právo a por.'!#REF!</f>
        <v>#REF!</v>
      </c>
      <c r="N61" s="172" t="e">
        <f>'[5]5.Bezpečnosť, právo a por.'!#REF!</f>
        <v>#REF!</v>
      </c>
      <c r="O61" s="174" t="e">
        <f>'[5]5.Bezpečnosť, právo a por.'!#REF!</f>
        <v>#REF!</v>
      </c>
      <c r="P61" s="214">
        <v>914.32</v>
      </c>
      <c r="Q61" s="215">
        <v>914.32</v>
      </c>
      <c r="R61" s="215">
        <v>0</v>
      </c>
      <c r="S61" s="216">
        <v>0</v>
      </c>
      <c r="T61" s="175" t="e">
        <f t="shared" si="28"/>
        <v>#REF!</v>
      </c>
      <c r="U61" s="172">
        <f>'[5]5.Bezpečnosť, právo a por.'!$H$79</f>
        <v>1650</v>
      </c>
      <c r="V61" s="172" t="e">
        <f>'[5]5.Bezpečnosť, právo a por.'!$I$78</f>
        <v>#REF!</v>
      </c>
      <c r="W61" s="174" t="e">
        <f>'[5]5.Bezpečnosť, právo a por.'!$J$78</f>
        <v>#REF!</v>
      </c>
    </row>
    <row r="62" spans="1:23" ht="15.75" x14ac:dyDescent="0.25">
      <c r="B62" s="193" t="s">
        <v>221</v>
      </c>
      <c r="C62" s="184" t="s">
        <v>222</v>
      </c>
      <c r="D62" s="171" t="e">
        <f>SUM(D63:D66)</f>
        <v>#REF!</v>
      </c>
      <c r="E62" s="172">
        <f>SUM(E63:E66)</f>
        <v>255279.5</v>
      </c>
      <c r="F62" s="172" t="e">
        <f>SUM(F63:F66)</f>
        <v>#REF!</v>
      </c>
      <c r="G62" s="173" t="e">
        <f>SUM(G63:G66)</f>
        <v>#REF!</v>
      </c>
      <c r="H62" s="171" t="e">
        <f t="shared" si="26"/>
        <v>#REF!</v>
      </c>
      <c r="I62" s="172">
        <f t="shared" ref="I62:W62" si="29">SUM(I63:I66)</f>
        <v>270995.5</v>
      </c>
      <c r="J62" s="172">
        <f t="shared" si="29"/>
        <v>0</v>
      </c>
      <c r="K62" s="174" t="e">
        <f t="shared" si="29"/>
        <v>#REF!</v>
      </c>
      <c r="L62" s="175" t="e">
        <f t="shared" si="29"/>
        <v>#REF!</v>
      </c>
      <c r="M62" s="172" t="e">
        <f t="shared" si="29"/>
        <v>#REF!</v>
      </c>
      <c r="N62" s="172" t="e">
        <f t="shared" si="29"/>
        <v>#REF!</v>
      </c>
      <c r="O62" s="174" t="e">
        <f t="shared" si="29"/>
        <v>#REF!</v>
      </c>
      <c r="P62" s="214">
        <v>203577.43</v>
      </c>
      <c r="Q62" s="215">
        <v>203577.43</v>
      </c>
      <c r="R62" s="215">
        <v>0</v>
      </c>
      <c r="S62" s="216">
        <v>0</v>
      </c>
      <c r="T62" s="175" t="e">
        <f t="shared" si="29"/>
        <v>#REF!</v>
      </c>
      <c r="U62" s="172" t="e">
        <f t="shared" si="29"/>
        <v>#REF!</v>
      </c>
      <c r="V62" s="172">
        <f t="shared" si="29"/>
        <v>64679</v>
      </c>
      <c r="W62" s="174" t="e">
        <f t="shared" si="29"/>
        <v>#REF!</v>
      </c>
    </row>
    <row r="63" spans="1:23" ht="15.75" x14ac:dyDescent="0.25">
      <c r="B63" s="70">
        <v>1</v>
      </c>
      <c r="C63" s="84" t="s">
        <v>223</v>
      </c>
      <c r="D63" s="72" t="e">
        <f>SUM(E63:G63)</f>
        <v>#REF!</v>
      </c>
      <c r="E63" s="73">
        <v>0</v>
      </c>
      <c r="F63" s="73" t="e">
        <f>'[5]5.Bezpečnosť, právo a por.'!#REF!</f>
        <v>#REF!</v>
      </c>
      <c r="G63" s="74" t="e">
        <f>'[5]5.Bezpečnosť, právo a por.'!#REF!</f>
        <v>#REF!</v>
      </c>
      <c r="H63" s="72" t="e">
        <f t="shared" si="26"/>
        <v>#REF!</v>
      </c>
      <c r="I63" s="73">
        <v>0</v>
      </c>
      <c r="J63" s="73">
        <v>0</v>
      </c>
      <c r="K63" s="75" t="e">
        <f>'[5]5.Bezpečnosť, právo a por.'!#REF!</f>
        <v>#REF!</v>
      </c>
      <c r="L63" s="76" t="e">
        <f>SUM(M63:O63)</f>
        <v>#REF!</v>
      </c>
      <c r="M63" s="73" t="e">
        <f>'[5]5.Bezpečnosť, právo a por.'!#REF!</f>
        <v>#REF!</v>
      </c>
      <c r="N63" s="73" t="e">
        <f>'[5]5.Bezpečnosť, právo a por.'!#REF!</f>
        <v>#REF!</v>
      </c>
      <c r="O63" s="75" t="e">
        <f>'[5]5.Bezpečnosť, právo a por.'!#REF!</f>
        <v>#REF!</v>
      </c>
      <c r="P63" s="214">
        <v>0</v>
      </c>
      <c r="Q63" s="217">
        <v>0</v>
      </c>
      <c r="R63" s="217">
        <v>0</v>
      </c>
      <c r="S63" s="218">
        <v>0</v>
      </c>
      <c r="T63" s="76">
        <f>SUM(U63:W63)</f>
        <v>251721</v>
      </c>
      <c r="U63" s="73">
        <f>'[5]5.Bezpečnosť, právo a por.'!$H$95</f>
        <v>187042</v>
      </c>
      <c r="V63" s="73">
        <f>'[5]5.Bezpečnosť, právo a por.'!$I$94</f>
        <v>64679</v>
      </c>
      <c r="W63" s="75">
        <f>'[5]5.Bezpečnosť, právo a por.'!$J$94</f>
        <v>0</v>
      </c>
    </row>
    <row r="64" spans="1:23" ht="15.75" x14ac:dyDescent="0.25">
      <c r="B64" s="70">
        <v>2</v>
      </c>
      <c r="C64" s="84" t="s">
        <v>224</v>
      </c>
      <c r="D64" s="72" t="e">
        <f>SUM(E64:G64)</f>
        <v>#REF!</v>
      </c>
      <c r="E64" s="73">
        <v>57400.5</v>
      </c>
      <c r="F64" s="73" t="e">
        <f>'[5]5.Bezpečnosť, právo a por.'!#REF!</f>
        <v>#REF!</v>
      </c>
      <c r="G64" s="74" t="e">
        <f>'[5]5.Bezpečnosť, právo a por.'!#REF!</f>
        <v>#REF!</v>
      </c>
      <c r="H64" s="72" t="e">
        <f t="shared" si="26"/>
        <v>#REF!</v>
      </c>
      <c r="I64" s="73">
        <v>37515</v>
      </c>
      <c r="J64" s="73">
        <v>0</v>
      </c>
      <c r="K64" s="75" t="e">
        <f>'[5]5.Bezpečnosť, právo a por.'!#REF!</f>
        <v>#REF!</v>
      </c>
      <c r="L64" s="76" t="e">
        <f>SUM(M64:O64)</f>
        <v>#REF!</v>
      </c>
      <c r="M64" s="73">
        <v>42145</v>
      </c>
      <c r="N64" s="73" t="e">
        <f>'[5]5.Bezpečnosť, právo a por.'!#REF!</f>
        <v>#REF!</v>
      </c>
      <c r="O64" s="75" t="e">
        <f>'[5]5.Bezpečnosť, právo a por.'!#REF!</f>
        <v>#REF!</v>
      </c>
      <c r="P64" s="214">
        <v>32015.58</v>
      </c>
      <c r="Q64" s="217">
        <v>32015.58</v>
      </c>
      <c r="R64" s="217">
        <v>0</v>
      </c>
      <c r="S64" s="218">
        <v>0</v>
      </c>
      <c r="T64" s="76" t="e">
        <f>SUM(U64:W64)</f>
        <v>#REF!</v>
      </c>
      <c r="U64" s="73">
        <f>'[5]5.Bezpečnosť, právo a por.'!$H$101</f>
        <v>74900</v>
      </c>
      <c r="V64" s="73"/>
      <c r="W64" s="75" t="e">
        <f>'[5]5.Bezpečnosť, právo a por.'!$J$96</f>
        <v>#REF!</v>
      </c>
    </row>
    <row r="65" spans="1:23" ht="15.75" x14ac:dyDescent="0.25">
      <c r="B65" s="70">
        <v>3</v>
      </c>
      <c r="C65" s="84" t="s">
        <v>225</v>
      </c>
      <c r="D65" s="72" t="e">
        <f>SUM(E65:G65)</f>
        <v>#REF!</v>
      </c>
      <c r="E65" s="73">
        <v>197723</v>
      </c>
      <c r="F65" s="73" t="e">
        <f>'[5]5.Bezpečnosť, právo a por.'!#REF!</f>
        <v>#REF!</v>
      </c>
      <c r="G65" s="74" t="e">
        <f>'[5]5.Bezpečnosť, právo a por.'!#REF!</f>
        <v>#REF!</v>
      </c>
      <c r="H65" s="72" t="e">
        <f t="shared" si="26"/>
        <v>#REF!</v>
      </c>
      <c r="I65" s="73">
        <v>233480.5</v>
      </c>
      <c r="J65" s="73">
        <v>0</v>
      </c>
      <c r="K65" s="75" t="e">
        <f>'[5]5.Bezpečnosť, právo a por.'!#REF!</f>
        <v>#REF!</v>
      </c>
      <c r="L65" s="76" t="e">
        <f>SUM(M65:O65)</f>
        <v>#REF!</v>
      </c>
      <c r="M65" s="73" t="e">
        <f>'[5]5.Bezpečnosť, právo a por.'!#REF!</f>
        <v>#REF!</v>
      </c>
      <c r="N65" s="73" t="e">
        <f>'[5]5.Bezpečnosť, právo a por.'!#REF!</f>
        <v>#REF!</v>
      </c>
      <c r="O65" s="75" t="e">
        <f>'[5]5.Bezpečnosť, právo a por.'!#REF!</f>
        <v>#REF!</v>
      </c>
      <c r="P65" s="214">
        <v>171561.85</v>
      </c>
      <c r="Q65" s="217">
        <v>171561.85</v>
      </c>
      <c r="R65" s="217">
        <v>0</v>
      </c>
      <c r="S65" s="218">
        <v>0</v>
      </c>
      <c r="T65" s="76" t="e">
        <f>SUM(U65:W65)</f>
        <v>#REF!</v>
      </c>
      <c r="U65" s="73" t="e">
        <f>'[5]5.Bezpečnosť, právo a por.'!$H$103</f>
        <v>#REF!</v>
      </c>
      <c r="V65" s="73">
        <f>'[5]5.Bezpečnosť, právo a por.'!$I$102</f>
        <v>0</v>
      </c>
      <c r="W65" s="75">
        <f>'[5]5.Bezpečnosť, právo a por.'!$J$102</f>
        <v>0</v>
      </c>
    </row>
    <row r="66" spans="1:23" ht="15.75" x14ac:dyDescent="0.25">
      <c r="B66" s="70">
        <v>4</v>
      </c>
      <c r="C66" s="84" t="s">
        <v>226</v>
      </c>
      <c r="D66" s="72" t="e">
        <f>SUM(E66:G66)</f>
        <v>#REF!</v>
      </c>
      <c r="E66" s="73">
        <v>156</v>
      </c>
      <c r="F66" s="73" t="e">
        <f>'[5]5.Bezpečnosť, právo a por.'!#REF!</f>
        <v>#REF!</v>
      </c>
      <c r="G66" s="74" t="e">
        <f>'[5]5.Bezpečnosť, právo a por.'!#REF!</f>
        <v>#REF!</v>
      </c>
      <c r="H66" s="72" t="e">
        <f t="shared" si="26"/>
        <v>#REF!</v>
      </c>
      <c r="I66" s="73">
        <v>0</v>
      </c>
      <c r="J66" s="73">
        <v>0</v>
      </c>
      <c r="K66" s="75" t="e">
        <f>'[5]5.Bezpečnosť, právo a por.'!#REF!</f>
        <v>#REF!</v>
      </c>
      <c r="L66" s="76" t="e">
        <f>SUM(M66:O66)</f>
        <v>#REF!</v>
      </c>
      <c r="M66" s="73">
        <v>0</v>
      </c>
      <c r="N66" s="73" t="e">
        <f>'[5]5.Bezpečnosť, právo a por.'!#REF!</f>
        <v>#REF!</v>
      </c>
      <c r="O66" s="75" t="e">
        <f>'[5]5.Bezpečnosť, právo a por.'!#REF!</f>
        <v>#REF!</v>
      </c>
      <c r="P66" s="214">
        <v>0</v>
      </c>
      <c r="Q66" s="217">
        <v>0</v>
      </c>
      <c r="R66" s="217">
        <v>0</v>
      </c>
      <c r="S66" s="218">
        <v>0</v>
      </c>
      <c r="T66" s="76" t="e">
        <f>SUM(U66:W66)</f>
        <v>#REF!</v>
      </c>
      <c r="U66" s="73" t="e">
        <f>'[5]5.Bezpečnosť, právo a por.'!$H$106</f>
        <v>#REF!</v>
      </c>
      <c r="V66" s="73">
        <f>'[5]5.Bezpečnosť, právo a por.'!$I$105</f>
        <v>0</v>
      </c>
      <c r="W66" s="75">
        <f>'[5]5.Bezpečnosť, právo a por.'!$J$105</f>
        <v>0</v>
      </c>
    </row>
    <row r="67" spans="1:23" ht="15.75" x14ac:dyDescent="0.25">
      <c r="A67" s="93"/>
      <c r="B67" s="193" t="s">
        <v>227</v>
      </c>
      <c r="C67" s="194" t="s">
        <v>228</v>
      </c>
      <c r="D67" s="171" t="e">
        <f t="shared" ref="D67:W67" si="30">SUM(D68:D69)</f>
        <v>#REF!</v>
      </c>
      <c r="E67" s="172">
        <f t="shared" si="30"/>
        <v>1324</v>
      </c>
      <c r="F67" s="172" t="e">
        <f t="shared" si="30"/>
        <v>#REF!</v>
      </c>
      <c r="G67" s="173" t="e">
        <f t="shared" si="30"/>
        <v>#REF!</v>
      </c>
      <c r="H67" s="171" t="e">
        <f t="shared" si="30"/>
        <v>#REF!</v>
      </c>
      <c r="I67" s="172" t="e">
        <f t="shared" si="30"/>
        <v>#REF!</v>
      </c>
      <c r="J67" s="172">
        <f t="shared" si="30"/>
        <v>0</v>
      </c>
      <c r="K67" s="174" t="e">
        <f t="shared" si="30"/>
        <v>#REF!</v>
      </c>
      <c r="L67" s="175" t="e">
        <f t="shared" si="30"/>
        <v>#REF!</v>
      </c>
      <c r="M67" s="172" t="e">
        <f t="shared" si="30"/>
        <v>#REF!</v>
      </c>
      <c r="N67" s="172" t="e">
        <f t="shared" si="30"/>
        <v>#REF!</v>
      </c>
      <c r="O67" s="174" t="e">
        <f t="shared" si="30"/>
        <v>#REF!</v>
      </c>
      <c r="P67" s="214">
        <v>26.7</v>
      </c>
      <c r="Q67" s="215">
        <v>26.7</v>
      </c>
      <c r="R67" s="215">
        <v>0</v>
      </c>
      <c r="S67" s="216">
        <v>0</v>
      </c>
      <c r="T67" s="175" t="e">
        <f t="shared" si="30"/>
        <v>#REF!</v>
      </c>
      <c r="U67" s="172" t="e">
        <f t="shared" si="30"/>
        <v>#REF!</v>
      </c>
      <c r="V67" s="172">
        <f t="shared" si="30"/>
        <v>0</v>
      </c>
      <c r="W67" s="174">
        <f t="shared" si="30"/>
        <v>0</v>
      </c>
    </row>
    <row r="68" spans="1:23" ht="15.75" x14ac:dyDescent="0.25">
      <c r="A68" s="93"/>
      <c r="B68" s="70">
        <v>1</v>
      </c>
      <c r="C68" s="84" t="s">
        <v>229</v>
      </c>
      <c r="D68" s="72" t="e">
        <f>SUM(E68:G68)</f>
        <v>#REF!</v>
      </c>
      <c r="E68" s="73">
        <v>461</v>
      </c>
      <c r="F68" s="73" t="e">
        <f>'[5]5.Bezpečnosť, právo a por.'!#REF!</f>
        <v>#REF!</v>
      </c>
      <c r="G68" s="74" t="e">
        <f>'[5]5.Bezpečnosť, právo a por.'!#REF!</f>
        <v>#REF!</v>
      </c>
      <c r="H68" s="72" t="e">
        <f>SUM(I68:K68)</f>
        <v>#REF!</v>
      </c>
      <c r="I68" s="73" t="e">
        <f>'[5]5.Bezpečnosť, právo a por.'!#REF!</f>
        <v>#REF!</v>
      </c>
      <c r="J68" s="73">
        <v>0</v>
      </c>
      <c r="K68" s="75" t="e">
        <f>'[5]5.Bezpečnosť, právo a por.'!#REF!</f>
        <v>#REF!</v>
      </c>
      <c r="L68" s="76" t="e">
        <f>SUM(M68:O68)</f>
        <v>#REF!</v>
      </c>
      <c r="M68" s="73" t="e">
        <f>'[5]5.Bezpečnosť, právo a por.'!#REF!</f>
        <v>#REF!</v>
      </c>
      <c r="N68" s="73" t="e">
        <f>'[5]5.Bezpečnosť, právo a por.'!#REF!</f>
        <v>#REF!</v>
      </c>
      <c r="O68" s="75" t="e">
        <f>'[5]5.Bezpečnosť, právo a por.'!#REF!</f>
        <v>#REF!</v>
      </c>
      <c r="P68" s="214">
        <v>26.7</v>
      </c>
      <c r="Q68" s="217">
        <v>26.7</v>
      </c>
      <c r="R68" s="217">
        <v>0</v>
      </c>
      <c r="S68" s="218">
        <v>0</v>
      </c>
      <c r="T68" s="76">
        <f>SUM(U68:W68)</f>
        <v>1300</v>
      </c>
      <c r="U68" s="73">
        <f>'[5]5.Bezpečnosť, právo a por.'!$H$110</f>
        <v>1300</v>
      </c>
      <c r="V68" s="73">
        <f>'[5]5.Bezpečnosť, právo a por.'!$I$109</f>
        <v>0</v>
      </c>
      <c r="W68" s="75">
        <f>'[5]5.Bezpečnosť, právo a por.'!$J$109</f>
        <v>0</v>
      </c>
    </row>
    <row r="69" spans="1:23" ht="17.25" thickBot="1" x14ac:dyDescent="0.35">
      <c r="A69" s="93"/>
      <c r="B69" s="78">
        <v>2</v>
      </c>
      <c r="C69" s="95" t="s">
        <v>230</v>
      </c>
      <c r="D69" s="79" t="e">
        <f>SUM(E69:G69)</f>
        <v>#REF!</v>
      </c>
      <c r="E69" s="80">
        <v>863</v>
      </c>
      <c r="F69" s="80" t="e">
        <f>'[5]5.Bezpečnosť, právo a por.'!#REF!</f>
        <v>#REF!</v>
      </c>
      <c r="G69" s="81" t="e">
        <f>'[5]5.Bezpečnosť, právo a por.'!#REF!</f>
        <v>#REF!</v>
      </c>
      <c r="H69" s="72" t="e">
        <f>SUM(I69:K69)</f>
        <v>#REF!</v>
      </c>
      <c r="I69" s="82">
        <v>0</v>
      </c>
      <c r="J69" s="82">
        <v>0</v>
      </c>
      <c r="K69" s="83" t="e">
        <f>'[5]5.Bezpečnosť, právo a por.'!#REF!</f>
        <v>#REF!</v>
      </c>
      <c r="L69" s="89" t="e">
        <f>SUM(M69:O69)</f>
        <v>#REF!</v>
      </c>
      <c r="M69" s="80" t="e">
        <f>'[5]5.Bezpečnosť, právo a por.'!#REF!</f>
        <v>#REF!</v>
      </c>
      <c r="N69" s="80" t="e">
        <f>'[5]5.Bezpečnosť, právo a por.'!#REF!</f>
        <v>#REF!</v>
      </c>
      <c r="O69" s="90" t="e">
        <f>'[5]5.Bezpečnosť, právo a por.'!#REF!</f>
        <v>#REF!</v>
      </c>
      <c r="P69" s="224">
        <v>0</v>
      </c>
      <c r="Q69" s="232">
        <v>0</v>
      </c>
      <c r="R69" s="232">
        <v>0</v>
      </c>
      <c r="S69" s="233">
        <v>0</v>
      </c>
      <c r="T69" s="89" t="e">
        <f>SUM(U69:W69)</f>
        <v>#REF!</v>
      </c>
      <c r="U69" s="80" t="e">
        <f>'[5]5.Bezpečnosť, právo a por.'!$H$112</f>
        <v>#REF!</v>
      </c>
      <c r="V69" s="80">
        <f>'[5]5.Bezpečnosť, právo a por.'!$I$111</f>
        <v>0</v>
      </c>
      <c r="W69" s="90">
        <f>'[5]5.Bezpečnosť, právo a por.'!$J$111</f>
        <v>0</v>
      </c>
    </row>
    <row r="70" spans="1:23" s="63" customFormat="1" ht="14.25" x14ac:dyDescent="0.2">
      <c r="A70" s="93"/>
      <c r="B70" s="154" t="s">
        <v>231</v>
      </c>
      <c r="C70" s="155"/>
      <c r="D70" s="149" t="e">
        <f t="shared" ref="D70:W70" si="31">D71+D74+D77</f>
        <v>#REF!</v>
      </c>
      <c r="E70" s="150">
        <f t="shared" si="31"/>
        <v>702096</v>
      </c>
      <c r="F70" s="150" t="e">
        <f t="shared" si="31"/>
        <v>#REF!</v>
      </c>
      <c r="G70" s="151" t="e">
        <f t="shared" si="31"/>
        <v>#REF!</v>
      </c>
      <c r="H70" s="149" t="e">
        <f t="shared" si="31"/>
        <v>#REF!</v>
      </c>
      <c r="I70" s="150">
        <f t="shared" si="31"/>
        <v>666597</v>
      </c>
      <c r="J70" s="150" t="e">
        <f t="shared" si="31"/>
        <v>#REF!</v>
      </c>
      <c r="K70" s="152" t="e">
        <f t="shared" si="31"/>
        <v>#REF!</v>
      </c>
      <c r="L70" s="153" t="e">
        <f t="shared" si="31"/>
        <v>#REF!</v>
      </c>
      <c r="M70" s="150" t="e">
        <f t="shared" si="31"/>
        <v>#REF!</v>
      </c>
      <c r="N70" s="150" t="e">
        <f t="shared" si="31"/>
        <v>#REF!</v>
      </c>
      <c r="O70" s="152" t="e">
        <f t="shared" si="31"/>
        <v>#REF!</v>
      </c>
      <c r="P70" s="222">
        <v>698135.79</v>
      </c>
      <c r="Q70" s="223">
        <v>698135.79</v>
      </c>
      <c r="R70" s="223">
        <v>0</v>
      </c>
      <c r="S70" s="227">
        <v>0</v>
      </c>
      <c r="T70" s="153">
        <f t="shared" si="31"/>
        <v>749050</v>
      </c>
      <c r="U70" s="150">
        <f t="shared" si="31"/>
        <v>743850</v>
      </c>
      <c r="V70" s="150">
        <f t="shared" si="31"/>
        <v>5200</v>
      </c>
      <c r="W70" s="152">
        <f t="shared" si="31"/>
        <v>0</v>
      </c>
    </row>
    <row r="71" spans="1:23" ht="15.75" x14ac:dyDescent="0.25">
      <c r="A71" s="85"/>
      <c r="B71" s="193" t="s">
        <v>232</v>
      </c>
      <c r="C71" s="194" t="s">
        <v>233</v>
      </c>
      <c r="D71" s="171" t="e">
        <f t="shared" ref="D71:W71" si="32">SUM(D72:D73)</f>
        <v>#REF!</v>
      </c>
      <c r="E71" s="172">
        <f t="shared" si="32"/>
        <v>518307</v>
      </c>
      <c r="F71" s="172" t="e">
        <f t="shared" si="32"/>
        <v>#REF!</v>
      </c>
      <c r="G71" s="173" t="e">
        <f t="shared" si="32"/>
        <v>#REF!</v>
      </c>
      <c r="H71" s="171" t="e">
        <f t="shared" si="32"/>
        <v>#REF!</v>
      </c>
      <c r="I71" s="172">
        <f t="shared" si="32"/>
        <v>514507</v>
      </c>
      <c r="J71" s="172" t="e">
        <f t="shared" si="32"/>
        <v>#REF!</v>
      </c>
      <c r="K71" s="174" t="e">
        <f t="shared" si="32"/>
        <v>#REF!</v>
      </c>
      <c r="L71" s="175" t="e">
        <f t="shared" si="32"/>
        <v>#REF!</v>
      </c>
      <c r="M71" s="172" t="e">
        <f t="shared" si="32"/>
        <v>#REF!</v>
      </c>
      <c r="N71" s="172" t="e">
        <f t="shared" si="32"/>
        <v>#REF!</v>
      </c>
      <c r="O71" s="174" t="e">
        <f t="shared" si="32"/>
        <v>#REF!</v>
      </c>
      <c r="P71" s="214">
        <v>524715.03</v>
      </c>
      <c r="Q71" s="215">
        <v>524715.03</v>
      </c>
      <c r="R71" s="215">
        <v>0</v>
      </c>
      <c r="S71" s="216">
        <v>0</v>
      </c>
      <c r="T71" s="175">
        <f t="shared" si="32"/>
        <v>564050</v>
      </c>
      <c r="U71" s="172">
        <f t="shared" si="32"/>
        <v>558850</v>
      </c>
      <c r="V71" s="172">
        <f t="shared" si="32"/>
        <v>5200</v>
      </c>
      <c r="W71" s="174">
        <f t="shared" si="32"/>
        <v>0</v>
      </c>
    </row>
    <row r="72" spans="1:23" ht="15.75" x14ac:dyDescent="0.25">
      <c r="B72" s="70">
        <v>1</v>
      </c>
      <c r="C72" s="94" t="s">
        <v>234</v>
      </c>
      <c r="D72" s="72" t="e">
        <f>SUM(E72:G72)</f>
        <v>#REF!</v>
      </c>
      <c r="E72" s="73">
        <v>278</v>
      </c>
      <c r="F72" s="73" t="e">
        <f>'[5]6.Odpadové hospodárstvo'!#REF!</f>
        <v>#REF!</v>
      </c>
      <c r="G72" s="74" t="e">
        <f>'[5]6.Odpadové hospodárstvo'!#REF!</f>
        <v>#REF!</v>
      </c>
      <c r="H72" s="72" t="e">
        <f>SUM(I72:K72)</f>
        <v>#REF!</v>
      </c>
      <c r="I72" s="73">
        <v>265</v>
      </c>
      <c r="J72" s="73" t="e">
        <f>'[5]6.Odpadové hospodárstvo'!#REF!</f>
        <v>#REF!</v>
      </c>
      <c r="K72" s="75" t="e">
        <f>'[5]6.Odpadové hospodárstvo'!#REF!</f>
        <v>#REF!</v>
      </c>
      <c r="L72" s="76" t="e">
        <f>SUM(M72:O72)</f>
        <v>#REF!</v>
      </c>
      <c r="M72" s="73" t="e">
        <f>'[5]6.Odpadové hospodárstvo'!#REF!</f>
        <v>#REF!</v>
      </c>
      <c r="N72" s="73" t="e">
        <f>'[5]6.Odpadové hospodárstvo'!#REF!</f>
        <v>#REF!</v>
      </c>
      <c r="O72" s="75" t="e">
        <f>'[5]6.Odpadové hospodárstvo'!#REF!</f>
        <v>#REF!</v>
      </c>
      <c r="P72" s="214">
        <v>287.73</v>
      </c>
      <c r="Q72" s="217">
        <v>287.73</v>
      </c>
      <c r="R72" s="217">
        <v>0</v>
      </c>
      <c r="S72" s="218">
        <v>0</v>
      </c>
      <c r="T72" s="76">
        <f>SUM(U72:W72)</f>
        <v>6050</v>
      </c>
      <c r="U72" s="73">
        <f>'[5]6.Odpadové hospodárstvo'!$H$5</f>
        <v>850</v>
      </c>
      <c r="V72" s="73">
        <f>'[5]6.Odpadové hospodárstvo'!$I$5</f>
        <v>5200</v>
      </c>
      <c r="W72" s="75">
        <f>'[5]6.Odpadové hospodárstvo'!$J$5</f>
        <v>0</v>
      </c>
    </row>
    <row r="73" spans="1:23" ht="15.75" x14ac:dyDescent="0.25">
      <c r="B73" s="70">
        <v>2</v>
      </c>
      <c r="C73" s="84" t="s">
        <v>235</v>
      </c>
      <c r="D73" s="72" t="e">
        <f>SUM(E73:G73)</f>
        <v>#REF!</v>
      </c>
      <c r="E73" s="73">
        <v>518029</v>
      </c>
      <c r="F73" s="73" t="e">
        <f>'[5]6.Odpadové hospodárstvo'!#REF!</f>
        <v>#REF!</v>
      </c>
      <c r="G73" s="74" t="e">
        <f>'[5]6.Odpadové hospodárstvo'!#REF!</f>
        <v>#REF!</v>
      </c>
      <c r="H73" s="72" t="e">
        <f>SUM(I73:K73)</f>
        <v>#REF!</v>
      </c>
      <c r="I73" s="73">
        <v>514242</v>
      </c>
      <c r="J73" s="73" t="e">
        <f>'[5]6.Odpadové hospodárstvo'!#REF!</f>
        <v>#REF!</v>
      </c>
      <c r="K73" s="75" t="e">
        <f>'[5]6.Odpadové hospodárstvo'!#REF!</f>
        <v>#REF!</v>
      </c>
      <c r="L73" s="76" t="e">
        <f>SUM(M73:O73)</f>
        <v>#REF!</v>
      </c>
      <c r="M73" s="73" t="e">
        <f>'[5]6.Odpadové hospodárstvo'!#REF!</f>
        <v>#REF!</v>
      </c>
      <c r="N73" s="73" t="e">
        <f>'[5]6.Odpadové hospodárstvo'!#REF!</f>
        <v>#REF!</v>
      </c>
      <c r="O73" s="75" t="e">
        <f>'[5]6.Odpadové hospodárstvo'!#REF!</f>
        <v>#REF!</v>
      </c>
      <c r="P73" s="214">
        <v>524427.30000000005</v>
      </c>
      <c r="Q73" s="217">
        <v>524427.30000000005</v>
      </c>
      <c r="R73" s="217">
        <v>0</v>
      </c>
      <c r="S73" s="218">
        <v>0</v>
      </c>
      <c r="T73" s="76">
        <f>SUM(U73:W73)</f>
        <v>558000</v>
      </c>
      <c r="U73" s="73">
        <f>'[5]6.Odpadové hospodárstvo'!$H$10</f>
        <v>558000</v>
      </c>
      <c r="V73" s="73">
        <f>'[5]6.Odpadové hospodárstvo'!$I$10</f>
        <v>0</v>
      </c>
      <c r="W73" s="75">
        <f>'[5]6.Odpadové hospodárstvo'!$J$10</f>
        <v>0</v>
      </c>
    </row>
    <row r="74" spans="1:23" ht="15.75" x14ac:dyDescent="0.25">
      <c r="B74" s="193" t="s">
        <v>236</v>
      </c>
      <c r="C74" s="184" t="s">
        <v>237</v>
      </c>
      <c r="D74" s="171" t="e">
        <f t="shared" ref="D74:W74" si="33">SUM(D75:D76)</f>
        <v>#REF!</v>
      </c>
      <c r="E74" s="172">
        <f t="shared" si="33"/>
        <v>107980</v>
      </c>
      <c r="F74" s="172" t="e">
        <f t="shared" si="33"/>
        <v>#REF!</v>
      </c>
      <c r="G74" s="173" t="e">
        <f t="shared" si="33"/>
        <v>#REF!</v>
      </c>
      <c r="H74" s="171" t="e">
        <f t="shared" si="33"/>
        <v>#REF!</v>
      </c>
      <c r="I74" s="172">
        <f t="shared" si="33"/>
        <v>78763</v>
      </c>
      <c r="J74" s="172" t="e">
        <f t="shared" si="33"/>
        <v>#REF!</v>
      </c>
      <c r="K74" s="174" t="e">
        <f t="shared" si="33"/>
        <v>#REF!</v>
      </c>
      <c r="L74" s="175" t="e">
        <f t="shared" si="33"/>
        <v>#REF!</v>
      </c>
      <c r="M74" s="172" t="e">
        <f t="shared" si="33"/>
        <v>#REF!</v>
      </c>
      <c r="N74" s="172" t="e">
        <f t="shared" si="33"/>
        <v>#REF!</v>
      </c>
      <c r="O74" s="174" t="e">
        <f t="shared" si="33"/>
        <v>#REF!</v>
      </c>
      <c r="P74" s="214">
        <v>94003.83</v>
      </c>
      <c r="Q74" s="215">
        <v>94003.83</v>
      </c>
      <c r="R74" s="215">
        <v>0</v>
      </c>
      <c r="S74" s="216">
        <v>0</v>
      </c>
      <c r="T74" s="175">
        <f t="shared" si="33"/>
        <v>100650</v>
      </c>
      <c r="U74" s="172">
        <f t="shared" si="33"/>
        <v>100650</v>
      </c>
      <c r="V74" s="172">
        <f t="shared" si="33"/>
        <v>0</v>
      </c>
      <c r="W74" s="174">
        <f t="shared" si="33"/>
        <v>0</v>
      </c>
    </row>
    <row r="75" spans="1:23" ht="15.75" x14ac:dyDescent="0.25">
      <c r="B75" s="70">
        <v>1</v>
      </c>
      <c r="C75" s="84" t="s">
        <v>238</v>
      </c>
      <c r="D75" s="72" t="e">
        <f>SUM(E75:G75)</f>
        <v>#REF!</v>
      </c>
      <c r="E75" s="73">
        <v>97706</v>
      </c>
      <c r="F75" s="73" t="e">
        <f>'[5]6.Odpadové hospodárstvo'!#REF!</f>
        <v>#REF!</v>
      </c>
      <c r="G75" s="74" t="e">
        <f>'[5]6.Odpadové hospodárstvo'!#REF!</f>
        <v>#REF!</v>
      </c>
      <c r="H75" s="72" t="e">
        <f>SUM(I75:K75)</f>
        <v>#REF!</v>
      </c>
      <c r="I75" s="73">
        <v>68842</v>
      </c>
      <c r="J75" s="73" t="e">
        <f>'[5]6.Odpadové hospodárstvo'!#REF!</f>
        <v>#REF!</v>
      </c>
      <c r="K75" s="75" t="e">
        <f>'[5]6.Odpadové hospodárstvo'!#REF!</f>
        <v>#REF!</v>
      </c>
      <c r="L75" s="76" t="e">
        <f>SUM(M75:O75)</f>
        <v>#REF!</v>
      </c>
      <c r="M75" s="73" t="e">
        <f>'[5]6.Odpadové hospodárstvo'!#REF!</f>
        <v>#REF!</v>
      </c>
      <c r="N75" s="73" t="e">
        <f>'[5]6.Odpadové hospodárstvo'!#REF!</f>
        <v>#REF!</v>
      </c>
      <c r="O75" s="75" t="e">
        <f>'[5]6.Odpadové hospodárstvo'!#REF!</f>
        <v>#REF!</v>
      </c>
      <c r="P75" s="214">
        <v>82086.899999999994</v>
      </c>
      <c r="Q75" s="217">
        <v>82086.899999999994</v>
      </c>
      <c r="R75" s="217">
        <v>0</v>
      </c>
      <c r="S75" s="218">
        <v>0</v>
      </c>
      <c r="T75" s="76">
        <f>SUM(U75:W75)</f>
        <v>86950</v>
      </c>
      <c r="U75" s="73">
        <f>'[5]6.Odpadové hospodárstvo'!$H$15</f>
        <v>86950</v>
      </c>
      <c r="V75" s="73">
        <f>'[5]6.Odpadové hospodárstvo'!$I$15</f>
        <v>0</v>
      </c>
      <c r="W75" s="75">
        <f>'[5]6.Odpadové hospodárstvo'!$J$15</f>
        <v>0</v>
      </c>
    </row>
    <row r="76" spans="1:23" ht="15.75" x14ac:dyDescent="0.25">
      <c r="B76" s="70">
        <v>2</v>
      </c>
      <c r="C76" s="94" t="s">
        <v>239</v>
      </c>
      <c r="D76" s="72" t="e">
        <f>SUM(E76:G76)</f>
        <v>#REF!</v>
      </c>
      <c r="E76" s="73">
        <v>10274</v>
      </c>
      <c r="F76" s="73" t="e">
        <f>'[5]6.Odpadové hospodárstvo'!#REF!</f>
        <v>#REF!</v>
      </c>
      <c r="G76" s="74" t="e">
        <f>'[5]6.Odpadové hospodárstvo'!#REF!</f>
        <v>#REF!</v>
      </c>
      <c r="H76" s="72" t="e">
        <f>SUM(I76:K76)</f>
        <v>#REF!</v>
      </c>
      <c r="I76" s="73">
        <v>9921</v>
      </c>
      <c r="J76" s="73" t="e">
        <f>'[5]6.Odpadové hospodárstvo'!#REF!</f>
        <v>#REF!</v>
      </c>
      <c r="K76" s="75" t="e">
        <f>'[5]6.Odpadové hospodárstvo'!#REF!</f>
        <v>#REF!</v>
      </c>
      <c r="L76" s="76" t="e">
        <f>SUM(M76:O76)</f>
        <v>#REF!</v>
      </c>
      <c r="M76" s="73" t="e">
        <f>'[5]6.Odpadové hospodárstvo'!#REF!</f>
        <v>#REF!</v>
      </c>
      <c r="N76" s="73" t="e">
        <f>'[5]6.Odpadové hospodárstvo'!#REF!</f>
        <v>#REF!</v>
      </c>
      <c r="O76" s="75" t="e">
        <f>'[5]6.Odpadové hospodárstvo'!#REF!</f>
        <v>#REF!</v>
      </c>
      <c r="P76" s="214">
        <v>11916.93</v>
      </c>
      <c r="Q76" s="217">
        <v>11916.93</v>
      </c>
      <c r="R76" s="217">
        <v>0</v>
      </c>
      <c r="S76" s="218">
        <v>0</v>
      </c>
      <c r="T76" s="76">
        <f>SUM(U76:W76)</f>
        <v>13700</v>
      </c>
      <c r="U76" s="73">
        <f>'[5]6.Odpadové hospodárstvo'!$H$18</f>
        <v>13700</v>
      </c>
      <c r="V76" s="73">
        <f>'[5]6.Odpadové hospodárstvo'!$I$18</f>
        <v>0</v>
      </c>
      <c r="W76" s="75">
        <f>'[5]6.Odpadové hospodárstvo'!$J$18</f>
        <v>0</v>
      </c>
    </row>
    <row r="77" spans="1:23" ht="16.5" thickBot="1" x14ac:dyDescent="0.3">
      <c r="B77" s="195" t="s">
        <v>240</v>
      </c>
      <c r="C77" s="196" t="s">
        <v>241</v>
      </c>
      <c r="D77" s="178" t="e">
        <f>SUM(E77:G77)</f>
        <v>#REF!</v>
      </c>
      <c r="E77" s="179">
        <v>75809</v>
      </c>
      <c r="F77" s="179">
        <v>52058</v>
      </c>
      <c r="G77" s="180" t="e">
        <f>'[5]6.Odpadové hospodárstvo'!#REF!</f>
        <v>#REF!</v>
      </c>
      <c r="H77" s="186" t="e">
        <f>SUM(I77:K77)</f>
        <v>#REF!</v>
      </c>
      <c r="I77" s="181">
        <v>73327</v>
      </c>
      <c r="J77" s="181" t="e">
        <f>'[5]6.Odpadové hospodárstvo'!#REF!</f>
        <v>#REF!</v>
      </c>
      <c r="K77" s="182" t="e">
        <f>'[5]6.Odpadové hospodárstvo'!#REF!</f>
        <v>#REF!</v>
      </c>
      <c r="L77" s="187" t="e">
        <f>SUM(M77:O77)</f>
        <v>#REF!</v>
      </c>
      <c r="M77" s="179" t="e">
        <f>'[5]6.Odpadové hospodárstvo'!#REF!</f>
        <v>#REF!</v>
      </c>
      <c r="N77" s="179" t="e">
        <f>'[5]6.Odpadové hospodárstvo'!#REF!</f>
        <v>#REF!</v>
      </c>
      <c r="O77" s="188" t="e">
        <f>'[5]6.Odpadové hospodárstvo'!#REF!</f>
        <v>#REF!</v>
      </c>
      <c r="P77" s="224">
        <v>79416.929999999993</v>
      </c>
      <c r="Q77" s="225">
        <v>79416.929999999993</v>
      </c>
      <c r="R77" s="225">
        <v>0</v>
      </c>
      <c r="S77" s="226">
        <v>0</v>
      </c>
      <c r="T77" s="187">
        <f>SUM(U77:W77)</f>
        <v>84350</v>
      </c>
      <c r="U77" s="179">
        <f>'[5]6.Odpadové hospodárstvo'!$H$20</f>
        <v>84350</v>
      </c>
      <c r="V77" s="179">
        <f>'[5]6.Odpadové hospodárstvo'!$I$20</f>
        <v>0</v>
      </c>
      <c r="W77" s="188">
        <f>'[5]6.Odpadové hospodárstvo'!$J$20</f>
        <v>0</v>
      </c>
    </row>
    <row r="78" spans="1:23" s="63" customFormat="1" ht="14.25" x14ac:dyDescent="0.2">
      <c r="B78" s="154" t="s">
        <v>242</v>
      </c>
      <c r="C78" s="155"/>
      <c r="D78" s="149" t="e">
        <f t="shared" ref="D78:W78" si="34">D79+D87+D90</f>
        <v>#REF!</v>
      </c>
      <c r="E78" s="150" t="e">
        <f t="shared" si="34"/>
        <v>#REF!</v>
      </c>
      <c r="F78" s="150" t="e">
        <f t="shared" si="34"/>
        <v>#REF!</v>
      </c>
      <c r="G78" s="151" t="e">
        <f t="shared" si="34"/>
        <v>#REF!</v>
      </c>
      <c r="H78" s="149" t="e">
        <f t="shared" si="34"/>
        <v>#REF!</v>
      </c>
      <c r="I78" s="150" t="e">
        <f t="shared" si="34"/>
        <v>#REF!</v>
      </c>
      <c r="J78" s="150" t="e">
        <f t="shared" si="34"/>
        <v>#REF!</v>
      </c>
      <c r="K78" s="152" t="e">
        <f t="shared" si="34"/>
        <v>#REF!</v>
      </c>
      <c r="L78" s="153" t="e">
        <f t="shared" si="34"/>
        <v>#REF!</v>
      </c>
      <c r="M78" s="150" t="e">
        <f t="shared" si="34"/>
        <v>#REF!</v>
      </c>
      <c r="N78" s="150" t="e">
        <f t="shared" si="34"/>
        <v>#REF!</v>
      </c>
      <c r="O78" s="152" t="e">
        <f t="shared" si="34"/>
        <v>#REF!</v>
      </c>
      <c r="P78" s="222">
        <v>948075.11</v>
      </c>
      <c r="Q78" s="223">
        <v>274180.21999999997</v>
      </c>
      <c r="R78" s="223">
        <v>368710.89</v>
      </c>
      <c r="S78" s="227">
        <v>305184</v>
      </c>
      <c r="T78" s="153">
        <f t="shared" si="34"/>
        <v>899603</v>
      </c>
      <c r="U78" s="150">
        <f t="shared" si="34"/>
        <v>377705</v>
      </c>
      <c r="V78" s="150">
        <f t="shared" si="34"/>
        <v>128850</v>
      </c>
      <c r="W78" s="152">
        <f t="shared" si="34"/>
        <v>393048</v>
      </c>
    </row>
    <row r="79" spans="1:23" ht="15.75" x14ac:dyDescent="0.25">
      <c r="B79" s="193" t="s">
        <v>243</v>
      </c>
      <c r="C79" s="184" t="s">
        <v>244</v>
      </c>
      <c r="D79" s="171" t="e">
        <f t="shared" ref="D79:W79" si="35">SUM(D80:D86)</f>
        <v>#REF!</v>
      </c>
      <c r="E79" s="172" t="e">
        <f t="shared" si="35"/>
        <v>#REF!</v>
      </c>
      <c r="F79" s="172" t="e">
        <f t="shared" si="35"/>
        <v>#REF!</v>
      </c>
      <c r="G79" s="173" t="e">
        <f t="shared" si="35"/>
        <v>#REF!</v>
      </c>
      <c r="H79" s="171">
        <f t="shared" si="35"/>
        <v>716581.5</v>
      </c>
      <c r="I79" s="172">
        <f t="shared" si="35"/>
        <v>248438.5</v>
      </c>
      <c r="J79" s="172">
        <f t="shared" si="35"/>
        <v>162959</v>
      </c>
      <c r="K79" s="174">
        <f t="shared" si="35"/>
        <v>305184</v>
      </c>
      <c r="L79" s="175" t="e">
        <f t="shared" si="35"/>
        <v>#REF!</v>
      </c>
      <c r="M79" s="172" t="e">
        <f t="shared" si="35"/>
        <v>#REF!</v>
      </c>
      <c r="N79" s="172" t="e">
        <f t="shared" si="35"/>
        <v>#REF!</v>
      </c>
      <c r="O79" s="174" t="e">
        <f t="shared" si="35"/>
        <v>#REF!</v>
      </c>
      <c r="P79" s="214">
        <v>948075.11</v>
      </c>
      <c r="Q79" s="215">
        <v>274180.21999999997</v>
      </c>
      <c r="R79" s="215">
        <v>368710.89</v>
      </c>
      <c r="S79" s="216">
        <v>305184</v>
      </c>
      <c r="T79" s="175">
        <f t="shared" si="35"/>
        <v>770603</v>
      </c>
      <c r="U79" s="172">
        <f t="shared" si="35"/>
        <v>368705</v>
      </c>
      <c r="V79" s="172">
        <f t="shared" si="35"/>
        <v>8850</v>
      </c>
      <c r="W79" s="174">
        <f t="shared" si="35"/>
        <v>393048</v>
      </c>
    </row>
    <row r="80" spans="1:23" ht="15.75" x14ac:dyDescent="0.25">
      <c r="B80" s="70">
        <v>1</v>
      </c>
      <c r="C80" s="84" t="s">
        <v>245</v>
      </c>
      <c r="D80" s="72" t="e">
        <f t="shared" ref="D80:D86" si="36">SUM(E80:G80)</f>
        <v>#REF!</v>
      </c>
      <c r="E80" s="73" t="e">
        <f>'[5]7.Komunikácie'!#REF!</f>
        <v>#REF!</v>
      </c>
      <c r="F80" s="73" t="e">
        <f>'[5]7.Komunikácie'!#REF!</f>
        <v>#REF!</v>
      </c>
      <c r="G80" s="74" t="e">
        <f>'[5]7.Komunikácie'!#REF!</f>
        <v>#REF!</v>
      </c>
      <c r="H80" s="72">
        <f t="shared" ref="H80:H86" si="37">SUM(I80:K80)</f>
        <v>0</v>
      </c>
      <c r="I80" s="73">
        <v>0</v>
      </c>
      <c r="J80" s="73">
        <v>0</v>
      </c>
      <c r="K80" s="75">
        <v>0</v>
      </c>
      <c r="L80" s="76" t="e">
        <f t="shared" ref="L80:L86" si="38">SUM(M80:O80)</f>
        <v>#REF!</v>
      </c>
      <c r="M80" s="73" t="e">
        <f>'[5]7.Komunikácie'!#REF!</f>
        <v>#REF!</v>
      </c>
      <c r="N80" s="73" t="e">
        <f>'[5]7.Komunikácie'!#REF!</f>
        <v>#REF!</v>
      </c>
      <c r="O80" s="75" t="e">
        <f>'[5]7.Komunikácie'!#REF!</f>
        <v>#REF!</v>
      </c>
      <c r="P80" s="214">
        <v>0</v>
      </c>
      <c r="Q80" s="217">
        <v>0</v>
      </c>
      <c r="R80" s="217">
        <v>0</v>
      </c>
      <c r="S80" s="218">
        <v>0</v>
      </c>
      <c r="T80" s="76">
        <f t="shared" ref="T80:T86" si="39">SUM(U80:W80)</f>
        <v>0</v>
      </c>
      <c r="U80" s="73">
        <f>'[5]7.Komunikácie'!$H$5</f>
        <v>0</v>
      </c>
      <c r="V80" s="73">
        <f>'[5]7.Komunikácie'!$I$5</f>
        <v>0</v>
      </c>
      <c r="W80" s="75">
        <f>'[5]7.Komunikácie'!$J$5</f>
        <v>0</v>
      </c>
    </row>
    <row r="81" spans="2:23" ht="15.75" x14ac:dyDescent="0.25">
      <c r="B81" s="70">
        <v>2</v>
      </c>
      <c r="C81" s="84" t="s">
        <v>246</v>
      </c>
      <c r="D81" s="72">
        <f t="shared" si="36"/>
        <v>602449.49</v>
      </c>
      <c r="E81" s="73">
        <v>45661.49</v>
      </c>
      <c r="F81" s="73">
        <v>348552</v>
      </c>
      <c r="G81" s="74">
        <v>208236</v>
      </c>
      <c r="H81" s="72">
        <f t="shared" si="37"/>
        <v>534980</v>
      </c>
      <c r="I81" s="73">
        <v>66837</v>
      </c>
      <c r="J81" s="73">
        <v>162959</v>
      </c>
      <c r="K81" s="75">
        <v>305184</v>
      </c>
      <c r="L81" s="76" t="e">
        <f t="shared" si="38"/>
        <v>#REF!</v>
      </c>
      <c r="M81" s="73" t="e">
        <f>'[5]7.Komunikácie'!#REF!</f>
        <v>#REF!</v>
      </c>
      <c r="N81" s="73" t="e">
        <f>'[5]7.Komunikácie'!#REF!</f>
        <v>#REF!</v>
      </c>
      <c r="O81" s="75" t="e">
        <f>'[5]7.Komunikácie'!#REF!</f>
        <v>#REF!</v>
      </c>
      <c r="P81" s="214">
        <v>785677.72</v>
      </c>
      <c r="Q81" s="217">
        <v>111782.83</v>
      </c>
      <c r="R81" s="217">
        <v>368710.89</v>
      </c>
      <c r="S81" s="218">
        <v>305184</v>
      </c>
      <c r="T81" s="76">
        <f t="shared" si="39"/>
        <v>493103</v>
      </c>
      <c r="U81" s="73">
        <f>'[5]7.Komunikácie'!$H$7</f>
        <v>91205</v>
      </c>
      <c r="V81" s="73">
        <f>'[5]7.Komunikácie'!$I$7</f>
        <v>8850</v>
      </c>
      <c r="W81" s="75">
        <f>'[5]7.Komunikácie'!$J$7</f>
        <v>393048</v>
      </c>
    </row>
    <row r="82" spans="2:23" ht="15.75" x14ac:dyDescent="0.25">
      <c r="B82" s="70">
        <v>3</v>
      </c>
      <c r="C82" s="84" t="s">
        <v>247</v>
      </c>
      <c r="D82" s="72" t="e">
        <f t="shared" si="36"/>
        <v>#REF!</v>
      </c>
      <c r="E82" s="73">
        <v>32923.49</v>
      </c>
      <c r="F82" s="73" t="e">
        <f>'[5]7.Komunikácie'!#REF!</f>
        <v>#REF!</v>
      </c>
      <c r="G82" s="74" t="e">
        <f>'[5]7.Komunikácie'!#REF!</f>
        <v>#REF!</v>
      </c>
      <c r="H82" s="72">
        <f t="shared" si="37"/>
        <v>64576.5</v>
      </c>
      <c r="I82" s="73">
        <v>64576.5</v>
      </c>
      <c r="J82" s="73">
        <v>0</v>
      </c>
      <c r="K82" s="73">
        <v>0</v>
      </c>
      <c r="L82" s="76" t="e">
        <f t="shared" si="38"/>
        <v>#REF!</v>
      </c>
      <c r="M82" s="73" t="e">
        <f>'[5]7.Komunikácie'!#REF!</f>
        <v>#REF!</v>
      </c>
      <c r="N82" s="73" t="e">
        <f>'[5]7.Komunikácie'!#REF!</f>
        <v>#REF!</v>
      </c>
      <c r="O82" s="75" t="e">
        <f>'[5]7.Komunikácie'!#REF!</f>
        <v>#REF!</v>
      </c>
      <c r="P82" s="214">
        <v>39318.660000000003</v>
      </c>
      <c r="Q82" s="217">
        <v>39318.660000000003</v>
      </c>
      <c r="R82" s="217">
        <v>0</v>
      </c>
      <c r="S82" s="218">
        <v>0</v>
      </c>
      <c r="T82" s="76">
        <f t="shared" si="39"/>
        <v>79000</v>
      </c>
      <c r="U82" s="73">
        <f>'[5]7.Komunikácie'!$H$21</f>
        <v>79000</v>
      </c>
      <c r="V82" s="73">
        <f>'[5]7.Komunikácie'!$I$21</f>
        <v>0</v>
      </c>
      <c r="W82" s="75">
        <f>'[5]7.Komunikácie'!$J$21</f>
        <v>0</v>
      </c>
    </row>
    <row r="83" spans="2:23" ht="15.75" x14ac:dyDescent="0.25">
      <c r="B83" s="70">
        <v>4</v>
      </c>
      <c r="C83" s="84" t="s">
        <v>248</v>
      </c>
      <c r="D83" s="72" t="e">
        <f t="shared" si="36"/>
        <v>#REF!</v>
      </c>
      <c r="E83" s="73">
        <v>9452</v>
      </c>
      <c r="F83" s="73" t="e">
        <f>'[5]7.Komunikácie'!#REF!</f>
        <v>#REF!</v>
      </c>
      <c r="G83" s="74" t="e">
        <f>'[5]7.Komunikácie'!#REF!</f>
        <v>#REF!</v>
      </c>
      <c r="H83" s="72">
        <f t="shared" si="37"/>
        <v>9930</v>
      </c>
      <c r="I83" s="73">
        <v>9930</v>
      </c>
      <c r="J83" s="73">
        <v>0</v>
      </c>
      <c r="K83" s="73">
        <v>0</v>
      </c>
      <c r="L83" s="76" t="e">
        <f t="shared" si="38"/>
        <v>#REF!</v>
      </c>
      <c r="M83" s="73" t="e">
        <f>'[5]7.Komunikácie'!#REF!</f>
        <v>#REF!</v>
      </c>
      <c r="N83" s="73" t="e">
        <f>'[5]7.Komunikácie'!#REF!</f>
        <v>#REF!</v>
      </c>
      <c r="O83" s="75" t="e">
        <f>'[5]7.Komunikácie'!#REF!</f>
        <v>#REF!</v>
      </c>
      <c r="P83" s="214">
        <v>22614.04</v>
      </c>
      <c r="Q83" s="217">
        <v>22614.04</v>
      </c>
      <c r="R83" s="217">
        <v>0</v>
      </c>
      <c r="S83" s="218">
        <v>0</v>
      </c>
      <c r="T83" s="76">
        <f t="shared" si="39"/>
        <v>82000</v>
      </c>
      <c r="U83" s="73">
        <f>'[5]7.Komunikácie'!$H$24</f>
        <v>82000</v>
      </c>
      <c r="V83" s="73">
        <f>'[5]7.Komunikácie'!$I$24</f>
        <v>0</v>
      </c>
      <c r="W83" s="75">
        <f>'[5]7.Komunikácie'!$J$24</f>
        <v>0</v>
      </c>
    </row>
    <row r="84" spans="2:23" ht="15.75" x14ac:dyDescent="0.25">
      <c r="B84" s="70">
        <v>5</v>
      </c>
      <c r="C84" s="84" t="s">
        <v>249</v>
      </c>
      <c r="D84" s="72" t="e">
        <f t="shared" si="36"/>
        <v>#REF!</v>
      </c>
      <c r="E84" s="73">
        <v>97309</v>
      </c>
      <c r="F84" s="73" t="e">
        <f>'[5]7.Komunikácie'!#REF!</f>
        <v>#REF!</v>
      </c>
      <c r="G84" s="74" t="e">
        <f>'[5]7.Komunikácie'!#REF!</f>
        <v>#REF!</v>
      </c>
      <c r="H84" s="72">
        <f t="shared" si="37"/>
        <v>92824</v>
      </c>
      <c r="I84" s="73">
        <v>92824</v>
      </c>
      <c r="J84" s="73">
        <v>0</v>
      </c>
      <c r="K84" s="73">
        <v>0</v>
      </c>
      <c r="L84" s="76" t="e">
        <f t="shared" si="38"/>
        <v>#REF!</v>
      </c>
      <c r="M84" s="73" t="e">
        <f>'[5]7.Komunikácie'!#REF!</f>
        <v>#REF!</v>
      </c>
      <c r="N84" s="73" t="e">
        <f>'[5]7.Komunikácie'!#REF!</f>
        <v>#REF!</v>
      </c>
      <c r="O84" s="75" t="e">
        <f>'[5]7.Komunikácie'!#REF!</f>
        <v>#REF!</v>
      </c>
      <c r="P84" s="214">
        <v>83569.850000000006</v>
      </c>
      <c r="Q84" s="217">
        <v>83569.850000000006</v>
      </c>
      <c r="R84" s="217">
        <v>0</v>
      </c>
      <c r="S84" s="218">
        <v>0</v>
      </c>
      <c r="T84" s="76">
        <f t="shared" si="39"/>
        <v>96150</v>
      </c>
      <c r="U84" s="73">
        <f>'[5]7.Komunikácie'!$H$27</f>
        <v>96150</v>
      </c>
      <c r="V84" s="73">
        <f>'[5]7.Komunikácie'!$I$27</f>
        <v>0</v>
      </c>
      <c r="W84" s="75">
        <f>'[5]7.Komunikácie'!$J$27</f>
        <v>0</v>
      </c>
    </row>
    <row r="85" spans="2:23" ht="15.75" x14ac:dyDescent="0.25">
      <c r="B85" s="70">
        <v>5</v>
      </c>
      <c r="C85" s="84" t="s">
        <v>250</v>
      </c>
      <c r="D85" s="72" t="e">
        <f t="shared" si="36"/>
        <v>#REF!</v>
      </c>
      <c r="E85" s="73">
        <v>6126</v>
      </c>
      <c r="F85" s="73" t="e">
        <f>'[5]7.Komunikácie'!#REF!</f>
        <v>#REF!</v>
      </c>
      <c r="G85" s="74" t="e">
        <f>'[5]7.Komunikácie'!#REF!</f>
        <v>#REF!</v>
      </c>
      <c r="H85" s="72">
        <f t="shared" si="37"/>
        <v>13937</v>
      </c>
      <c r="I85" s="73">
        <v>13937</v>
      </c>
      <c r="J85" s="73">
        <v>0</v>
      </c>
      <c r="K85" s="73">
        <v>0</v>
      </c>
      <c r="L85" s="76" t="e">
        <f t="shared" si="38"/>
        <v>#REF!</v>
      </c>
      <c r="M85" s="73">
        <v>17005</v>
      </c>
      <c r="N85" s="73" t="e">
        <f>'[5]7.Komunikácie'!#REF!</f>
        <v>#REF!</v>
      </c>
      <c r="O85" s="75" t="e">
        <f>'[5]7.Komunikácie'!#REF!</f>
        <v>#REF!</v>
      </c>
      <c r="P85" s="214">
        <v>6134.4</v>
      </c>
      <c r="Q85" s="217">
        <v>6134.4</v>
      </c>
      <c r="R85" s="217">
        <v>0</v>
      </c>
      <c r="S85" s="218">
        <v>0</v>
      </c>
      <c r="T85" s="76">
        <f t="shared" si="39"/>
        <v>10350</v>
      </c>
      <c r="U85" s="73">
        <f>'[5]7.Komunikácie'!$H$31</f>
        <v>10350</v>
      </c>
      <c r="V85" s="73">
        <f>'[5]7.Komunikácie'!$I$31</f>
        <v>0</v>
      </c>
      <c r="W85" s="75">
        <f>'[5]7.Komunikácie'!$J$31</f>
        <v>0</v>
      </c>
    </row>
    <row r="86" spans="2:23" ht="16.5" x14ac:dyDescent="0.3">
      <c r="B86" s="70">
        <v>6</v>
      </c>
      <c r="C86" s="92" t="s">
        <v>251</v>
      </c>
      <c r="D86" s="72" t="e">
        <f t="shared" si="36"/>
        <v>#REF!</v>
      </c>
      <c r="E86" s="73">
        <v>3949</v>
      </c>
      <c r="F86" s="73" t="e">
        <f>'[5]7.Komunikácie'!#REF!</f>
        <v>#REF!</v>
      </c>
      <c r="G86" s="74" t="e">
        <f>'[5]7.Komunikácie'!#REF!</f>
        <v>#REF!</v>
      </c>
      <c r="H86" s="72">
        <f t="shared" si="37"/>
        <v>334</v>
      </c>
      <c r="I86" s="73">
        <v>334</v>
      </c>
      <c r="J86" s="73">
        <v>0</v>
      </c>
      <c r="K86" s="73">
        <v>0</v>
      </c>
      <c r="L86" s="76" t="e">
        <f t="shared" si="38"/>
        <v>#REF!</v>
      </c>
      <c r="M86" s="73">
        <v>6240</v>
      </c>
      <c r="N86" s="73" t="e">
        <f>'[5]7.Komunikácie'!#REF!</f>
        <v>#REF!</v>
      </c>
      <c r="O86" s="75" t="e">
        <f>'[5]7.Komunikácie'!#REF!</f>
        <v>#REF!</v>
      </c>
      <c r="P86" s="214">
        <v>10760.44</v>
      </c>
      <c r="Q86" s="217">
        <v>10760.44</v>
      </c>
      <c r="R86" s="217">
        <v>0</v>
      </c>
      <c r="S86" s="218">
        <v>0</v>
      </c>
      <c r="T86" s="76">
        <f t="shared" si="39"/>
        <v>10000</v>
      </c>
      <c r="U86" s="73">
        <f>'[5]7.Komunikácie'!$H$35</f>
        <v>10000</v>
      </c>
      <c r="V86" s="73">
        <f>'[5]7.Komunikácie'!$I$35</f>
        <v>0</v>
      </c>
      <c r="W86" s="75">
        <f>'[5]7.Komunikácie'!$J$35</f>
        <v>0</v>
      </c>
    </row>
    <row r="87" spans="2:23" ht="15.75" x14ac:dyDescent="0.25">
      <c r="B87" s="193" t="s">
        <v>252</v>
      </c>
      <c r="C87" s="184" t="s">
        <v>253</v>
      </c>
      <c r="D87" s="171" t="e">
        <f t="shared" ref="D87:W87" si="40">SUM(D88:D89)</f>
        <v>#REF!</v>
      </c>
      <c r="E87" s="172" t="e">
        <f t="shared" si="40"/>
        <v>#REF!</v>
      </c>
      <c r="F87" s="172" t="e">
        <f t="shared" si="40"/>
        <v>#REF!</v>
      </c>
      <c r="G87" s="173" t="e">
        <f t="shared" si="40"/>
        <v>#REF!</v>
      </c>
      <c r="H87" s="171" t="e">
        <f t="shared" si="40"/>
        <v>#REF!</v>
      </c>
      <c r="I87" s="172" t="e">
        <f t="shared" si="40"/>
        <v>#REF!</v>
      </c>
      <c r="J87" s="172" t="e">
        <f t="shared" si="40"/>
        <v>#REF!</v>
      </c>
      <c r="K87" s="174" t="e">
        <f t="shared" si="40"/>
        <v>#REF!</v>
      </c>
      <c r="L87" s="175" t="e">
        <f t="shared" si="40"/>
        <v>#REF!</v>
      </c>
      <c r="M87" s="172" t="e">
        <f t="shared" si="40"/>
        <v>#REF!</v>
      </c>
      <c r="N87" s="172" t="e">
        <f t="shared" si="40"/>
        <v>#REF!</v>
      </c>
      <c r="O87" s="174" t="e">
        <f t="shared" si="40"/>
        <v>#REF!</v>
      </c>
      <c r="P87" s="214">
        <v>0</v>
      </c>
      <c r="Q87" s="215">
        <v>0</v>
      </c>
      <c r="R87" s="215">
        <v>0</v>
      </c>
      <c r="S87" s="216">
        <v>0</v>
      </c>
      <c r="T87" s="175">
        <f t="shared" si="40"/>
        <v>129000</v>
      </c>
      <c r="U87" s="172">
        <f t="shared" si="40"/>
        <v>9000</v>
      </c>
      <c r="V87" s="172">
        <f t="shared" si="40"/>
        <v>120000</v>
      </c>
      <c r="W87" s="174">
        <f t="shared" si="40"/>
        <v>0</v>
      </c>
    </row>
    <row r="88" spans="2:23" ht="15.75" x14ac:dyDescent="0.25">
      <c r="B88" s="70">
        <v>1</v>
      </c>
      <c r="C88" s="84" t="s">
        <v>254</v>
      </c>
      <c r="D88" s="72" t="e">
        <f>SUM(E88:G88)</f>
        <v>#REF!</v>
      </c>
      <c r="E88" s="73" t="e">
        <f>'[5]7.Komunikácie'!#REF!</f>
        <v>#REF!</v>
      </c>
      <c r="F88" s="73">
        <v>68101</v>
      </c>
      <c r="G88" s="74" t="e">
        <f>'[5]7.Komunikácie'!#REF!</f>
        <v>#REF!</v>
      </c>
      <c r="H88" s="72" t="e">
        <f>SUM(I88:K88)</f>
        <v>#REF!</v>
      </c>
      <c r="I88" s="73" t="e">
        <f>'[5]7.Komunikácie'!#REF!</f>
        <v>#REF!</v>
      </c>
      <c r="J88" s="73" t="e">
        <f>'[5]7.Komunikácie'!#REF!</f>
        <v>#REF!</v>
      </c>
      <c r="K88" s="75" t="e">
        <f>'[5]7.Komunikácie'!#REF!</f>
        <v>#REF!</v>
      </c>
      <c r="L88" s="76" t="e">
        <f>SUM(M88:O88)</f>
        <v>#REF!</v>
      </c>
      <c r="M88" s="73" t="e">
        <f>'[5]7.Komunikácie'!#REF!</f>
        <v>#REF!</v>
      </c>
      <c r="N88" s="73" t="e">
        <f>'[5]7.Komunikácie'!#REF!</f>
        <v>#REF!</v>
      </c>
      <c r="O88" s="75" t="e">
        <f>'[5]7.Komunikácie'!#REF!</f>
        <v>#REF!</v>
      </c>
      <c r="P88" s="214">
        <v>0</v>
      </c>
      <c r="Q88" s="234">
        <v>0</v>
      </c>
      <c r="R88" s="234">
        <v>0</v>
      </c>
      <c r="S88" s="235">
        <v>0</v>
      </c>
      <c r="T88" s="76">
        <f>SUM(U88:W88)</f>
        <v>120000</v>
      </c>
      <c r="U88" s="73">
        <f>'[5]7.Komunikácie'!$H$39</f>
        <v>0</v>
      </c>
      <c r="V88" s="73">
        <f>'[5]7.Komunikácie'!$I$39</f>
        <v>120000</v>
      </c>
      <c r="W88" s="75">
        <f>'[5]7.Komunikácie'!$J$39</f>
        <v>0</v>
      </c>
    </row>
    <row r="89" spans="2:23" ht="15.75" x14ac:dyDescent="0.25">
      <c r="B89" s="70">
        <v>2</v>
      </c>
      <c r="C89" s="84" t="s">
        <v>255</v>
      </c>
      <c r="D89" s="72" t="e">
        <f>SUM(E89:G89)</f>
        <v>#REF!</v>
      </c>
      <c r="E89" s="73">
        <v>0</v>
      </c>
      <c r="F89" s="73" t="e">
        <f>'[5]7.Komunikácie'!#REF!</f>
        <v>#REF!</v>
      </c>
      <c r="G89" s="74" t="e">
        <f>'[5]7.Komunikácie'!#REF!</f>
        <v>#REF!</v>
      </c>
      <c r="H89" s="72" t="e">
        <f>SUM(I89:K89)</f>
        <v>#REF!</v>
      </c>
      <c r="I89" s="73" t="e">
        <f>'[5]7.Komunikácie'!#REF!</f>
        <v>#REF!</v>
      </c>
      <c r="J89" s="73" t="e">
        <f>'[5]7.Komunikácie'!#REF!</f>
        <v>#REF!</v>
      </c>
      <c r="K89" s="75" t="e">
        <f>'[5]7.Komunikácie'!#REF!</f>
        <v>#REF!</v>
      </c>
      <c r="L89" s="76" t="e">
        <f>SUM(M89:O89)</f>
        <v>#REF!</v>
      </c>
      <c r="M89" s="73">
        <v>8150</v>
      </c>
      <c r="N89" s="73" t="e">
        <f>'[5]7.Komunikácie'!#REF!</f>
        <v>#REF!</v>
      </c>
      <c r="O89" s="75" t="e">
        <f>'[5]7.Komunikácie'!#REF!</f>
        <v>#REF!</v>
      </c>
      <c r="P89" s="214">
        <v>0</v>
      </c>
      <c r="Q89" s="234">
        <v>0</v>
      </c>
      <c r="R89" s="234">
        <v>0</v>
      </c>
      <c r="S89" s="235">
        <v>0</v>
      </c>
      <c r="T89" s="76">
        <f>SUM(U89:W89)</f>
        <v>9000</v>
      </c>
      <c r="U89" s="73">
        <f>'[5]7.Komunikácie'!$H$41</f>
        <v>9000</v>
      </c>
      <c r="V89" s="73">
        <f>'[5]7.Komunikácie'!$I$41</f>
        <v>0</v>
      </c>
      <c r="W89" s="75">
        <f>'[5]7.Komunikácie'!$J$41</f>
        <v>0</v>
      </c>
    </row>
    <row r="90" spans="2:23" ht="15.75" x14ac:dyDescent="0.25">
      <c r="B90" s="193" t="s">
        <v>256</v>
      </c>
      <c r="C90" s="184" t="s">
        <v>257</v>
      </c>
      <c r="D90" s="171" t="e">
        <f t="shared" ref="D90:W90" si="41">SUM(D91:D92)</f>
        <v>#REF!</v>
      </c>
      <c r="E90" s="172" t="e">
        <f t="shared" si="41"/>
        <v>#REF!</v>
      </c>
      <c r="F90" s="172" t="e">
        <f t="shared" si="41"/>
        <v>#REF!</v>
      </c>
      <c r="G90" s="173" t="e">
        <f t="shared" si="41"/>
        <v>#REF!</v>
      </c>
      <c r="H90" s="171" t="e">
        <f t="shared" si="41"/>
        <v>#REF!</v>
      </c>
      <c r="I90" s="172" t="e">
        <f t="shared" si="41"/>
        <v>#REF!</v>
      </c>
      <c r="J90" s="172" t="e">
        <f t="shared" si="41"/>
        <v>#REF!</v>
      </c>
      <c r="K90" s="174" t="e">
        <f t="shared" si="41"/>
        <v>#REF!</v>
      </c>
      <c r="L90" s="175" t="e">
        <f t="shared" si="41"/>
        <v>#REF!</v>
      </c>
      <c r="M90" s="172" t="e">
        <f t="shared" si="41"/>
        <v>#REF!</v>
      </c>
      <c r="N90" s="172" t="e">
        <f t="shared" si="41"/>
        <v>#REF!</v>
      </c>
      <c r="O90" s="174" t="e">
        <f t="shared" si="41"/>
        <v>#REF!</v>
      </c>
      <c r="P90" s="214">
        <v>0</v>
      </c>
      <c r="Q90" s="215">
        <v>0</v>
      </c>
      <c r="R90" s="215">
        <v>0</v>
      </c>
      <c r="S90" s="216">
        <v>0</v>
      </c>
      <c r="T90" s="175">
        <f t="shared" si="41"/>
        <v>0</v>
      </c>
      <c r="U90" s="172">
        <f t="shared" si="41"/>
        <v>0</v>
      </c>
      <c r="V90" s="172">
        <f t="shared" si="41"/>
        <v>0</v>
      </c>
      <c r="W90" s="174">
        <f t="shared" si="41"/>
        <v>0</v>
      </c>
    </row>
    <row r="91" spans="2:23" ht="15.75" x14ac:dyDescent="0.25">
      <c r="B91" s="70">
        <v>1</v>
      </c>
      <c r="C91" s="84" t="s">
        <v>258</v>
      </c>
      <c r="D91" s="72" t="e">
        <f>SUM(E91:G91)</f>
        <v>#REF!</v>
      </c>
      <c r="E91" s="73" t="e">
        <f>'[5]7.Komunikácie'!#REF!</f>
        <v>#REF!</v>
      </c>
      <c r="F91" s="73" t="e">
        <f>'[5]7.Komunikácie'!#REF!</f>
        <v>#REF!</v>
      </c>
      <c r="G91" s="74" t="e">
        <f>'[5]7.Komunikácie'!#REF!</f>
        <v>#REF!</v>
      </c>
      <c r="H91" s="72" t="e">
        <f>SUM(I91:K91)</f>
        <v>#REF!</v>
      </c>
      <c r="I91" s="73" t="e">
        <f>'[5]7.Komunikácie'!#REF!</f>
        <v>#REF!</v>
      </c>
      <c r="J91" s="73" t="e">
        <f>'[5]7.Komunikácie'!#REF!</f>
        <v>#REF!</v>
      </c>
      <c r="K91" s="75" t="e">
        <f>'[5]7.Komunikácie'!#REF!</f>
        <v>#REF!</v>
      </c>
      <c r="L91" s="76" t="e">
        <f>SUM(M91:O91)</f>
        <v>#REF!</v>
      </c>
      <c r="M91" s="73" t="e">
        <f>'[5]7.Komunikácie'!#REF!</f>
        <v>#REF!</v>
      </c>
      <c r="N91" s="73" t="e">
        <f>'[5]7.Komunikácie'!#REF!</f>
        <v>#REF!</v>
      </c>
      <c r="O91" s="75" t="e">
        <f>'[5]7.Komunikácie'!#REF!</f>
        <v>#REF!</v>
      </c>
      <c r="P91" s="214">
        <v>0</v>
      </c>
      <c r="Q91" s="217">
        <v>0</v>
      </c>
      <c r="R91" s="217">
        <v>0</v>
      </c>
      <c r="S91" s="218">
        <v>0</v>
      </c>
      <c r="T91" s="76">
        <f>SUM(U91:W91)</f>
        <v>0</v>
      </c>
      <c r="U91" s="73">
        <f>'[5]7.Komunikácie'!$H$44</f>
        <v>0</v>
      </c>
      <c r="V91" s="73">
        <f>'[5]7.Komunikácie'!$I$44</f>
        <v>0</v>
      </c>
      <c r="W91" s="75">
        <f>'[5]7.Komunikácie'!$J$44</f>
        <v>0</v>
      </c>
    </row>
    <row r="92" spans="2:23" ht="16.5" thickBot="1" x14ac:dyDescent="0.3">
      <c r="B92" s="78">
        <v>2</v>
      </c>
      <c r="C92" s="87" t="s">
        <v>259</v>
      </c>
      <c r="D92" s="79" t="e">
        <f>SUM(E92:G92)</f>
        <v>#REF!</v>
      </c>
      <c r="E92" s="80">
        <v>366</v>
      </c>
      <c r="F92" s="80" t="e">
        <f>'[5]7.Komunikácie'!#REF!</f>
        <v>#REF!</v>
      </c>
      <c r="G92" s="81" t="e">
        <f>'[5]7.Komunikácie'!#REF!</f>
        <v>#REF!</v>
      </c>
      <c r="H92" s="88" t="e">
        <f>SUM(I92:K92)</f>
        <v>#REF!</v>
      </c>
      <c r="I92" s="82" t="e">
        <f>'[5]7.Komunikácie'!#REF!</f>
        <v>#REF!</v>
      </c>
      <c r="J92" s="82" t="e">
        <f>'[5]7.Komunikácie'!#REF!</f>
        <v>#REF!</v>
      </c>
      <c r="K92" s="83" t="e">
        <f>'[5]7.Komunikácie'!#REF!</f>
        <v>#REF!</v>
      </c>
      <c r="L92" s="89" t="e">
        <f>SUM(M92:O92)</f>
        <v>#REF!</v>
      </c>
      <c r="M92" s="80" t="e">
        <f>'[5]7.Komunikácie'!#REF!</f>
        <v>#REF!</v>
      </c>
      <c r="N92" s="80" t="e">
        <f>'[5]7.Komunikácie'!#REF!</f>
        <v>#REF!</v>
      </c>
      <c r="O92" s="90" t="e">
        <f>'[5]7.Komunikácie'!#REF!</f>
        <v>#REF!</v>
      </c>
      <c r="P92" s="224">
        <v>0</v>
      </c>
      <c r="Q92" s="232">
        <v>0</v>
      </c>
      <c r="R92" s="232">
        <v>0</v>
      </c>
      <c r="S92" s="233">
        <v>0</v>
      </c>
      <c r="T92" s="89">
        <f>SUM(U92:W92)</f>
        <v>0</v>
      </c>
      <c r="U92" s="80">
        <f>'[5]7.Komunikácie'!$H$47</f>
        <v>0</v>
      </c>
      <c r="V92" s="80">
        <f>'[5]7.Komunikácie'!$I$47</f>
        <v>0</v>
      </c>
      <c r="W92" s="90">
        <f>'[5]7.Komunikácie'!$J$47</f>
        <v>0</v>
      </c>
    </row>
    <row r="93" spans="2:23" s="63" customFormat="1" ht="14.25" x14ac:dyDescent="0.2">
      <c r="B93" s="154" t="s">
        <v>260</v>
      </c>
      <c r="C93" s="155"/>
      <c r="D93" s="149" t="e">
        <f t="shared" ref="D93:W93" si="42">D94+D95</f>
        <v>#REF!</v>
      </c>
      <c r="E93" s="150">
        <f t="shared" si="42"/>
        <v>47735</v>
      </c>
      <c r="F93" s="150" t="e">
        <f t="shared" si="42"/>
        <v>#REF!</v>
      </c>
      <c r="G93" s="151" t="e">
        <f t="shared" si="42"/>
        <v>#REF!</v>
      </c>
      <c r="H93" s="149">
        <f t="shared" si="42"/>
        <v>69510</v>
      </c>
      <c r="I93" s="150">
        <f t="shared" si="42"/>
        <v>69510</v>
      </c>
      <c r="J93" s="150">
        <f t="shared" si="42"/>
        <v>0</v>
      </c>
      <c r="K93" s="152">
        <f t="shared" si="42"/>
        <v>0</v>
      </c>
      <c r="L93" s="153" t="e">
        <f t="shared" si="42"/>
        <v>#REF!</v>
      </c>
      <c r="M93" s="150" t="e">
        <f t="shared" si="42"/>
        <v>#REF!</v>
      </c>
      <c r="N93" s="150" t="e">
        <f t="shared" si="42"/>
        <v>#REF!</v>
      </c>
      <c r="O93" s="152" t="e">
        <f t="shared" si="42"/>
        <v>#REF!</v>
      </c>
      <c r="P93" s="222">
        <v>65435.19</v>
      </c>
      <c r="Q93" s="223">
        <v>65435.19</v>
      </c>
      <c r="R93" s="223">
        <v>0</v>
      </c>
      <c r="S93" s="227">
        <v>0</v>
      </c>
      <c r="T93" s="153">
        <f t="shared" si="42"/>
        <v>73850</v>
      </c>
      <c r="U93" s="150">
        <f t="shared" si="42"/>
        <v>73850</v>
      </c>
      <c r="V93" s="150">
        <f t="shared" si="42"/>
        <v>0</v>
      </c>
      <c r="W93" s="152">
        <f t="shared" si="42"/>
        <v>0</v>
      </c>
    </row>
    <row r="94" spans="2:23" ht="16.5" x14ac:dyDescent="0.3">
      <c r="B94" s="193" t="s">
        <v>261</v>
      </c>
      <c r="C94" s="189" t="s">
        <v>262</v>
      </c>
      <c r="D94" s="171" t="e">
        <f>SUM(E94:G94)</f>
        <v>#REF!</v>
      </c>
      <c r="E94" s="172">
        <v>47475</v>
      </c>
      <c r="F94" s="172" t="e">
        <f>'[5]8.Doprava'!#REF!</f>
        <v>#REF!</v>
      </c>
      <c r="G94" s="173" t="e">
        <f>'[5]8.Doprava'!#REF!</f>
        <v>#REF!</v>
      </c>
      <c r="H94" s="171">
        <f>SUM(I94:K94)</f>
        <v>69510</v>
      </c>
      <c r="I94" s="172">
        <v>69510</v>
      </c>
      <c r="J94" s="172">
        <v>0</v>
      </c>
      <c r="K94" s="174">
        <v>0</v>
      </c>
      <c r="L94" s="175" t="e">
        <f>SUM(M94:O94)</f>
        <v>#REF!</v>
      </c>
      <c r="M94" s="172" t="e">
        <f>'[5]8.Doprava'!#REF!</f>
        <v>#REF!</v>
      </c>
      <c r="N94" s="172" t="e">
        <f>'[5]8.Doprava'!#REF!</f>
        <v>#REF!</v>
      </c>
      <c r="O94" s="174" t="e">
        <f>'[5]8.Doprava'!#REF!</f>
        <v>#REF!</v>
      </c>
      <c r="P94" s="214">
        <v>65435.19</v>
      </c>
      <c r="Q94" s="215">
        <v>65435.19</v>
      </c>
      <c r="R94" s="215">
        <v>0</v>
      </c>
      <c r="S94" s="216">
        <v>0</v>
      </c>
      <c r="T94" s="175">
        <f>SUM(U94:W94)</f>
        <v>71000</v>
      </c>
      <c r="U94" s="172">
        <f>'[5]8.Doprava'!$H$4</f>
        <v>71000</v>
      </c>
      <c r="V94" s="172">
        <f>'[5]8.Doprava'!$I$4</f>
        <v>0</v>
      </c>
      <c r="W94" s="174">
        <f>'[5]8.Doprava'!$J$4</f>
        <v>0</v>
      </c>
    </row>
    <row r="95" spans="2:23" ht="15.75" x14ac:dyDescent="0.25">
      <c r="B95" s="193" t="s">
        <v>263</v>
      </c>
      <c r="C95" s="184" t="s">
        <v>264</v>
      </c>
      <c r="D95" s="171" t="e">
        <f>SUM(D96:D96)</f>
        <v>#REF!</v>
      </c>
      <c r="E95" s="172">
        <f>SUM(E96:E96)</f>
        <v>260</v>
      </c>
      <c r="F95" s="172" t="e">
        <f>SUM(F96:F96)</f>
        <v>#REF!</v>
      </c>
      <c r="G95" s="173" t="e">
        <f>SUM(G96:G96)</f>
        <v>#REF!</v>
      </c>
      <c r="H95" s="171">
        <f t="shared" ref="H95:W95" si="43">SUM(H96)</f>
        <v>0</v>
      </c>
      <c r="I95" s="172">
        <f t="shared" si="43"/>
        <v>0</v>
      </c>
      <c r="J95" s="172">
        <f t="shared" si="43"/>
        <v>0</v>
      </c>
      <c r="K95" s="174">
        <f t="shared" si="43"/>
        <v>0</v>
      </c>
      <c r="L95" s="175" t="e">
        <f>SUM(M95:O95)</f>
        <v>#REF!</v>
      </c>
      <c r="M95" s="172" t="e">
        <f t="shared" si="43"/>
        <v>#REF!</v>
      </c>
      <c r="N95" s="172" t="e">
        <f t="shared" si="43"/>
        <v>#REF!</v>
      </c>
      <c r="O95" s="174" t="e">
        <f t="shared" si="43"/>
        <v>#REF!</v>
      </c>
      <c r="P95" s="214">
        <v>0</v>
      </c>
      <c r="Q95" s="215">
        <v>0</v>
      </c>
      <c r="R95" s="215">
        <v>0</v>
      </c>
      <c r="S95" s="216">
        <v>0</v>
      </c>
      <c r="T95" s="175">
        <f t="shared" si="43"/>
        <v>2850</v>
      </c>
      <c r="U95" s="172">
        <f t="shared" si="43"/>
        <v>2850</v>
      </c>
      <c r="V95" s="172">
        <f t="shared" si="43"/>
        <v>0</v>
      </c>
      <c r="W95" s="174">
        <f t="shared" si="43"/>
        <v>0</v>
      </c>
    </row>
    <row r="96" spans="2:23" ht="16.5" thickBot="1" x14ac:dyDescent="0.3">
      <c r="B96" s="78">
        <v>1</v>
      </c>
      <c r="C96" s="87" t="s">
        <v>265</v>
      </c>
      <c r="D96" s="79" t="e">
        <f>SUM(E96:G96)</f>
        <v>#REF!</v>
      </c>
      <c r="E96" s="80">
        <v>260</v>
      </c>
      <c r="F96" s="80" t="e">
        <f>'[5]8.Doprava'!#REF!</f>
        <v>#REF!</v>
      </c>
      <c r="G96" s="81" t="e">
        <f>'[5]8.Doprava'!#REF!</f>
        <v>#REF!</v>
      </c>
      <c r="H96" s="88">
        <f>SUM(I96:K96)</f>
        <v>0</v>
      </c>
      <c r="I96" s="82">
        <v>0</v>
      </c>
      <c r="J96" s="82">
        <v>0</v>
      </c>
      <c r="K96" s="83">
        <v>0</v>
      </c>
      <c r="L96" s="89" t="e">
        <f>SUM(M96:O96)</f>
        <v>#REF!</v>
      </c>
      <c r="M96" s="80" t="e">
        <f>'[5]8.Doprava'!#REF!</f>
        <v>#REF!</v>
      </c>
      <c r="N96" s="80" t="e">
        <f>'[5]8.Doprava'!#REF!</f>
        <v>#REF!</v>
      </c>
      <c r="O96" s="90" t="e">
        <f>'[5]8.Doprava'!#REF!</f>
        <v>#REF!</v>
      </c>
      <c r="P96" s="224">
        <v>0</v>
      </c>
      <c r="Q96" s="232">
        <v>0</v>
      </c>
      <c r="R96" s="232">
        <v>0</v>
      </c>
      <c r="S96" s="233">
        <v>0</v>
      </c>
      <c r="T96" s="89">
        <f>SUM(U96:W96)</f>
        <v>2850</v>
      </c>
      <c r="U96" s="80">
        <f>'[5]8.Doprava'!$H$7</f>
        <v>2850</v>
      </c>
      <c r="V96" s="80">
        <f>'[5]8.Doprava'!$I$7</f>
        <v>0</v>
      </c>
      <c r="W96" s="90">
        <f>'[5]8.Doprava'!$J$7</f>
        <v>0</v>
      </c>
    </row>
    <row r="97" spans="1:23" s="63" customFormat="1" ht="14.25" x14ac:dyDescent="0.2">
      <c r="B97" s="154" t="s">
        <v>266</v>
      </c>
      <c r="C97" s="155"/>
      <c r="D97" s="149" t="e">
        <f t="shared" ref="D97:W97" si="44">D98+D99+D107+D114+D117+D118+D119</f>
        <v>#REF!</v>
      </c>
      <c r="E97" s="150" t="e">
        <f t="shared" si="44"/>
        <v>#REF!</v>
      </c>
      <c r="F97" s="150" t="e">
        <f t="shared" si="44"/>
        <v>#REF!</v>
      </c>
      <c r="G97" s="151" t="e">
        <f t="shared" si="44"/>
        <v>#REF!</v>
      </c>
      <c r="H97" s="149">
        <f t="shared" si="44"/>
        <v>5702025.9800000004</v>
      </c>
      <c r="I97" s="150">
        <f t="shared" si="44"/>
        <v>5290112.9800000004</v>
      </c>
      <c r="J97" s="150">
        <f t="shared" si="44"/>
        <v>411913</v>
      </c>
      <c r="K97" s="152">
        <f t="shared" si="44"/>
        <v>0</v>
      </c>
      <c r="L97" s="153" t="e">
        <f t="shared" si="44"/>
        <v>#REF!</v>
      </c>
      <c r="M97" s="150" t="e">
        <f t="shared" si="44"/>
        <v>#REF!</v>
      </c>
      <c r="N97" s="150" t="e">
        <f t="shared" si="44"/>
        <v>#REF!</v>
      </c>
      <c r="O97" s="152" t="e">
        <f t="shared" si="44"/>
        <v>#REF!</v>
      </c>
      <c r="P97" s="222">
        <v>5603561.3399999999</v>
      </c>
      <c r="Q97" s="223">
        <v>5352051.54</v>
      </c>
      <c r="R97" s="223">
        <v>19924.32</v>
      </c>
      <c r="S97" s="227">
        <v>231585.48</v>
      </c>
      <c r="T97" s="153" t="e">
        <f t="shared" si="44"/>
        <v>#REF!</v>
      </c>
      <c r="U97" s="150" t="e">
        <f t="shared" si="44"/>
        <v>#REF!</v>
      </c>
      <c r="V97" s="150" t="e">
        <f t="shared" si="44"/>
        <v>#REF!</v>
      </c>
      <c r="W97" s="152" t="e">
        <f t="shared" si="44"/>
        <v>#REF!</v>
      </c>
    </row>
    <row r="98" spans="1:23" ht="16.5" x14ac:dyDescent="0.3">
      <c r="B98" s="193" t="s">
        <v>267</v>
      </c>
      <c r="C98" s="189" t="s">
        <v>268</v>
      </c>
      <c r="D98" s="171" t="e">
        <f>SUM(E98:G98)</f>
        <v>#REF!</v>
      </c>
      <c r="E98" s="172">
        <v>38985</v>
      </c>
      <c r="F98" s="172" t="e">
        <f>'[5]9. Vzdelávanie'!#REF!</f>
        <v>#REF!</v>
      </c>
      <c r="G98" s="173" t="e">
        <f>'[5]9. Vzdelávanie'!#REF!</f>
        <v>#REF!</v>
      </c>
      <c r="H98" s="171">
        <f>SUM(I98:K98)</f>
        <v>63657</v>
      </c>
      <c r="I98" s="172">
        <v>63657</v>
      </c>
      <c r="J98" s="172">
        <v>0</v>
      </c>
      <c r="K98" s="174">
        <v>0</v>
      </c>
      <c r="L98" s="175" t="e">
        <f>SUM(M98:O98)</f>
        <v>#REF!</v>
      </c>
      <c r="M98" s="172" t="e">
        <f>'[5]9. Vzdelávanie'!#REF!</f>
        <v>#REF!</v>
      </c>
      <c r="N98" s="172" t="e">
        <f>'[5]9. Vzdelávanie'!#REF!</f>
        <v>#REF!</v>
      </c>
      <c r="O98" s="174" t="e">
        <f>'[5]9. Vzdelávanie'!#REF!</f>
        <v>#REF!</v>
      </c>
      <c r="P98" s="214">
        <v>2198.3000000000002</v>
      </c>
      <c r="Q98" s="215">
        <v>2198.3000000000002</v>
      </c>
      <c r="R98" s="215">
        <v>0</v>
      </c>
      <c r="S98" s="216">
        <v>0</v>
      </c>
      <c r="T98" s="175">
        <f>SUM(U98:W98)</f>
        <v>4292</v>
      </c>
      <c r="U98" s="172">
        <f>'[5]9. Vzdelávanie'!$H$4</f>
        <v>4292</v>
      </c>
      <c r="V98" s="172">
        <f>'[5]9. Vzdelávanie'!$I$4</f>
        <v>0</v>
      </c>
      <c r="W98" s="174">
        <f>'[5]9. Vzdelávanie'!$J$4</f>
        <v>0</v>
      </c>
    </row>
    <row r="99" spans="1:23" ht="15.75" x14ac:dyDescent="0.25">
      <c r="B99" s="193" t="s">
        <v>269</v>
      </c>
      <c r="C99" s="184" t="s">
        <v>270</v>
      </c>
      <c r="D99" s="171" t="e">
        <f t="shared" ref="D99:W99" si="45">SUM(D100:D106)</f>
        <v>#REF!</v>
      </c>
      <c r="E99" s="172" t="e">
        <f t="shared" si="45"/>
        <v>#REF!</v>
      </c>
      <c r="F99" s="172" t="e">
        <f t="shared" si="45"/>
        <v>#REF!</v>
      </c>
      <c r="G99" s="173" t="e">
        <f t="shared" si="45"/>
        <v>#REF!</v>
      </c>
      <c r="H99" s="171">
        <f t="shared" si="45"/>
        <v>1549169</v>
      </c>
      <c r="I99" s="172">
        <f t="shared" si="45"/>
        <v>1139518</v>
      </c>
      <c r="J99" s="172">
        <f t="shared" si="45"/>
        <v>409651</v>
      </c>
      <c r="K99" s="174">
        <f t="shared" si="45"/>
        <v>0</v>
      </c>
      <c r="L99" s="175" t="e">
        <f t="shared" si="45"/>
        <v>#REF!</v>
      </c>
      <c r="M99" s="172" t="e">
        <f t="shared" si="45"/>
        <v>#REF!</v>
      </c>
      <c r="N99" s="172" t="e">
        <f t="shared" si="45"/>
        <v>#REF!</v>
      </c>
      <c r="O99" s="174" t="e">
        <f t="shared" si="45"/>
        <v>#REF!</v>
      </c>
      <c r="P99" s="214">
        <v>1169183</v>
      </c>
      <c r="Q99" s="215">
        <v>1169183</v>
      </c>
      <c r="R99" s="215">
        <v>0</v>
      </c>
      <c r="S99" s="216">
        <v>0</v>
      </c>
      <c r="T99" s="175" t="e">
        <f t="shared" si="45"/>
        <v>#REF!</v>
      </c>
      <c r="U99" s="172" t="e">
        <f t="shared" si="45"/>
        <v>#REF!</v>
      </c>
      <c r="V99" s="172" t="e">
        <f t="shared" si="45"/>
        <v>#REF!</v>
      </c>
      <c r="W99" s="174" t="e">
        <f t="shared" si="45"/>
        <v>#REF!</v>
      </c>
    </row>
    <row r="100" spans="1:23" ht="15.75" x14ac:dyDescent="0.25">
      <c r="B100" s="70">
        <v>1</v>
      </c>
      <c r="C100" s="84" t="s">
        <v>271</v>
      </c>
      <c r="D100" s="72" t="e">
        <f t="shared" ref="D100:D106" si="46">SUM(E100:G100)</f>
        <v>#REF!</v>
      </c>
      <c r="E100" s="73">
        <v>134470</v>
      </c>
      <c r="F100" s="73" t="e">
        <f>'[5]9. Vzdelávanie'!#REF!</f>
        <v>#REF!</v>
      </c>
      <c r="G100" s="74" t="e">
        <f>'[5]9. Vzdelávanie'!#REF!</f>
        <v>#REF!</v>
      </c>
      <c r="H100" s="72">
        <f t="shared" ref="H100:H106" si="47">SUM(I100:K100)</f>
        <v>137478</v>
      </c>
      <c r="I100" s="73">
        <v>137478</v>
      </c>
      <c r="J100" s="75">
        <v>0</v>
      </c>
      <c r="K100" s="75">
        <v>0</v>
      </c>
      <c r="L100" s="76" t="e">
        <f t="shared" ref="L100:L106" si="48">SUM(M100:O100)</f>
        <v>#REF!</v>
      </c>
      <c r="M100" s="73" t="e">
        <f>'[5]9. Vzdelávanie'!#REF!</f>
        <v>#REF!</v>
      </c>
      <c r="N100" s="73" t="e">
        <f>'[5]9. Vzdelávanie'!#REF!</f>
        <v>#REF!</v>
      </c>
      <c r="O100" s="75" t="e">
        <f>'[5]9. Vzdelávanie'!#REF!</f>
        <v>#REF!</v>
      </c>
      <c r="P100" s="214">
        <v>135961</v>
      </c>
      <c r="Q100" s="217">
        <v>135961</v>
      </c>
      <c r="R100" s="217">
        <v>0</v>
      </c>
      <c r="S100" s="218">
        <v>0</v>
      </c>
      <c r="T100" s="76" t="e">
        <f t="shared" ref="T100:T106" si="49">SUM(U100:W100)</f>
        <v>#REF!</v>
      </c>
      <c r="U100" s="73">
        <f>'[6]9. Vzdelávanie'!$Q$9</f>
        <v>1431</v>
      </c>
      <c r="V100" s="73" t="e">
        <f>'[5]9. Vzdelávanie'!$I$33</f>
        <v>#REF!</v>
      </c>
      <c r="W100" s="75" t="e">
        <f>'[5]9. Vzdelávanie'!$J$33</f>
        <v>#REF!</v>
      </c>
    </row>
    <row r="101" spans="1:23" ht="15.75" x14ac:dyDescent="0.25">
      <c r="B101" s="70">
        <v>2</v>
      </c>
      <c r="C101" s="84" t="s">
        <v>272</v>
      </c>
      <c r="D101" s="72" t="e">
        <f t="shared" si="46"/>
        <v>#REF!</v>
      </c>
      <c r="E101" s="73">
        <v>244187</v>
      </c>
      <c r="F101" s="73" t="e">
        <f>'[5]9. Vzdelávanie'!#REF!</f>
        <v>#REF!</v>
      </c>
      <c r="G101" s="74" t="e">
        <f>'[5]9. Vzdelávanie'!#REF!</f>
        <v>#REF!</v>
      </c>
      <c r="H101" s="72">
        <f t="shared" si="47"/>
        <v>263081</v>
      </c>
      <c r="I101" s="73">
        <v>263081</v>
      </c>
      <c r="J101" s="75">
        <v>0</v>
      </c>
      <c r="K101" s="75">
        <v>0</v>
      </c>
      <c r="L101" s="76" t="e">
        <f t="shared" si="48"/>
        <v>#REF!</v>
      </c>
      <c r="M101" s="73" t="e">
        <f>'[5]9. Vzdelávanie'!#REF!</f>
        <v>#REF!</v>
      </c>
      <c r="N101" s="73" t="e">
        <f>'[5]9. Vzdelávanie'!#REF!</f>
        <v>#REF!</v>
      </c>
      <c r="O101" s="75" t="e">
        <f>'[5]9. Vzdelávanie'!#REF!</f>
        <v>#REF!</v>
      </c>
      <c r="P101" s="214">
        <v>272978</v>
      </c>
      <c r="Q101" s="217">
        <v>272978</v>
      </c>
      <c r="R101" s="217">
        <v>0</v>
      </c>
      <c r="S101" s="218">
        <v>0</v>
      </c>
      <c r="T101" s="76" t="e">
        <f t="shared" si="49"/>
        <v>#REF!</v>
      </c>
      <c r="U101" s="73">
        <f>'[6]9. Vzdelávanie'!$Q$18</f>
        <v>1479615</v>
      </c>
      <c r="V101" s="73" t="e">
        <f>'[5]9. Vzdelávanie'!$I$34</f>
        <v>#REF!</v>
      </c>
      <c r="W101" s="75" t="e">
        <f>'[5]9. Vzdelávanie'!$J$34</f>
        <v>#REF!</v>
      </c>
    </row>
    <row r="102" spans="1:23" ht="15.75" x14ac:dyDescent="0.25">
      <c r="B102" s="70">
        <v>3</v>
      </c>
      <c r="C102" s="84" t="s">
        <v>273</v>
      </c>
      <c r="D102" s="72" t="e">
        <f t="shared" si="46"/>
        <v>#REF!</v>
      </c>
      <c r="E102" s="73">
        <v>250400</v>
      </c>
      <c r="F102" s="73">
        <v>194592</v>
      </c>
      <c r="G102" s="74" t="e">
        <f>'[5]9. Vzdelávanie'!#REF!</f>
        <v>#REF!</v>
      </c>
      <c r="H102" s="72">
        <f t="shared" si="47"/>
        <v>687716</v>
      </c>
      <c r="I102" s="73">
        <v>278065</v>
      </c>
      <c r="J102" s="73">
        <v>409651</v>
      </c>
      <c r="K102" s="75">
        <v>0</v>
      </c>
      <c r="L102" s="76" t="e">
        <f t="shared" si="48"/>
        <v>#REF!</v>
      </c>
      <c r="M102" s="73" t="e">
        <f>'[5]9. Vzdelávanie'!#REF!</f>
        <v>#REF!</v>
      </c>
      <c r="N102" s="73" t="e">
        <f>'[5]9. Vzdelávanie'!#REF!</f>
        <v>#REF!</v>
      </c>
      <c r="O102" s="75" t="e">
        <f>'[5]9. Vzdelávanie'!#REF!</f>
        <v>#REF!</v>
      </c>
      <c r="P102" s="214">
        <v>284315</v>
      </c>
      <c r="Q102" s="217">
        <v>284315</v>
      </c>
      <c r="R102" s="217">
        <v>0</v>
      </c>
      <c r="S102" s="218">
        <v>0</v>
      </c>
      <c r="T102" s="76">
        <f t="shared" si="49"/>
        <v>147030</v>
      </c>
      <c r="U102" s="73">
        <f>'[6]9. Vzdelávanie'!$Q$19</f>
        <v>147030</v>
      </c>
      <c r="V102" s="73">
        <f>'[5]9. Vzdelávanie'!$I$35</f>
        <v>0</v>
      </c>
      <c r="W102" s="75">
        <f>'[5]9. Vzdelávanie'!$J$35</f>
        <v>0</v>
      </c>
    </row>
    <row r="103" spans="1:23" ht="15.75" x14ac:dyDescent="0.25">
      <c r="A103" s="53"/>
      <c r="B103" s="70">
        <v>4</v>
      </c>
      <c r="C103" s="84" t="s">
        <v>274</v>
      </c>
      <c r="D103" s="72" t="e">
        <f t="shared" si="46"/>
        <v>#REF!</v>
      </c>
      <c r="E103" s="73" t="e">
        <f>'[5]9. Vzdelávanie'!#REF!</f>
        <v>#REF!</v>
      </c>
      <c r="F103" s="73" t="e">
        <f>'[5]9. Vzdelávanie'!#REF!</f>
        <v>#REF!</v>
      </c>
      <c r="G103" s="74" t="e">
        <f>'[5]9. Vzdelávanie'!#REF!</f>
        <v>#REF!</v>
      </c>
      <c r="H103" s="72">
        <f t="shared" si="47"/>
        <v>0</v>
      </c>
      <c r="I103" s="73">
        <v>0</v>
      </c>
      <c r="J103" s="75">
        <v>0</v>
      </c>
      <c r="K103" s="75">
        <v>0</v>
      </c>
      <c r="L103" s="76" t="e">
        <f t="shared" si="48"/>
        <v>#REF!</v>
      </c>
      <c r="M103" s="73" t="e">
        <f>'[5]9. Vzdelávanie'!#REF!</f>
        <v>#REF!</v>
      </c>
      <c r="N103" s="73" t="e">
        <f>'[5]9. Vzdelávanie'!#REF!</f>
        <v>#REF!</v>
      </c>
      <c r="O103" s="75" t="e">
        <f>'[5]9. Vzdelávanie'!#REF!</f>
        <v>#REF!</v>
      </c>
      <c r="P103" s="214">
        <v>0</v>
      </c>
      <c r="Q103" s="217">
        <v>0</v>
      </c>
      <c r="R103" s="217">
        <v>0</v>
      </c>
      <c r="S103" s="218">
        <v>0</v>
      </c>
      <c r="T103" s="76" t="e">
        <f t="shared" si="49"/>
        <v>#REF!</v>
      </c>
      <c r="U103" s="73">
        <f>'[5]9. Vzdelávanie'!$H$38</f>
        <v>0</v>
      </c>
      <c r="V103" s="73">
        <f>'[5]9. Vzdelávanie'!$I$38</f>
        <v>0</v>
      </c>
      <c r="W103" s="75" t="e">
        <f>'[5]9. Vzdelávanie'!$J$38</f>
        <v>#REF!</v>
      </c>
    </row>
    <row r="104" spans="1:23" ht="15.75" x14ac:dyDescent="0.25">
      <c r="B104" s="70">
        <v>5</v>
      </c>
      <c r="C104" s="84" t="s">
        <v>275</v>
      </c>
      <c r="D104" s="72" t="e">
        <f t="shared" si="46"/>
        <v>#REF!</v>
      </c>
      <c r="E104" s="73">
        <v>153560</v>
      </c>
      <c r="F104" s="73" t="e">
        <f>'[5]9. Vzdelávanie'!#REF!</f>
        <v>#REF!</v>
      </c>
      <c r="G104" s="74" t="e">
        <f>'[5]9. Vzdelávanie'!#REF!</f>
        <v>#REF!</v>
      </c>
      <c r="H104" s="72">
        <f t="shared" si="47"/>
        <v>169278</v>
      </c>
      <c r="I104" s="73">
        <v>169278</v>
      </c>
      <c r="J104" s="75">
        <v>0</v>
      </c>
      <c r="K104" s="75">
        <v>0</v>
      </c>
      <c r="L104" s="76" t="e">
        <f t="shared" si="48"/>
        <v>#REF!</v>
      </c>
      <c r="M104" s="73" t="e">
        <f>'[5]9. Vzdelávanie'!#REF!</f>
        <v>#REF!</v>
      </c>
      <c r="N104" s="73" t="e">
        <f>'[5]9. Vzdelávanie'!#REF!</f>
        <v>#REF!</v>
      </c>
      <c r="O104" s="75" t="e">
        <f>'[5]9. Vzdelávanie'!#REF!</f>
        <v>#REF!</v>
      </c>
      <c r="P104" s="214">
        <v>179348</v>
      </c>
      <c r="Q104" s="217">
        <v>179348</v>
      </c>
      <c r="R104" s="217">
        <v>0</v>
      </c>
      <c r="S104" s="218">
        <v>0</v>
      </c>
      <c r="T104" s="76" t="e">
        <f t="shared" si="49"/>
        <v>#REF!</v>
      </c>
      <c r="U104" s="73" t="e">
        <f>'[6]9. Vzdelávanie'!#REF!</f>
        <v>#REF!</v>
      </c>
      <c r="V104" s="73" t="e">
        <f>'[5]9. Vzdelávanie'!$I$39</f>
        <v>#REF!</v>
      </c>
      <c r="W104" s="75" t="e">
        <f>'[5]9. Vzdelávanie'!$J$39</f>
        <v>#REF!</v>
      </c>
    </row>
    <row r="105" spans="1:23" ht="15.75" x14ac:dyDescent="0.25">
      <c r="B105" s="70">
        <v>6</v>
      </c>
      <c r="C105" s="84" t="s">
        <v>276</v>
      </c>
      <c r="D105" s="72" t="e">
        <f t="shared" si="46"/>
        <v>#REF!</v>
      </c>
      <c r="E105" s="73">
        <v>172477</v>
      </c>
      <c r="F105" s="73">
        <v>183944</v>
      </c>
      <c r="G105" s="74" t="e">
        <f>'[5]9. Vzdelávanie'!#REF!</f>
        <v>#REF!</v>
      </c>
      <c r="H105" s="72">
        <f t="shared" si="47"/>
        <v>169490</v>
      </c>
      <c r="I105" s="73">
        <v>169490</v>
      </c>
      <c r="J105" s="75">
        <v>0</v>
      </c>
      <c r="K105" s="75">
        <v>0</v>
      </c>
      <c r="L105" s="76" t="e">
        <f t="shared" si="48"/>
        <v>#REF!</v>
      </c>
      <c r="M105" s="73" t="e">
        <f>'[5]9. Vzdelávanie'!#REF!</f>
        <v>#REF!</v>
      </c>
      <c r="N105" s="73" t="e">
        <f>'[5]9. Vzdelávanie'!#REF!</f>
        <v>#REF!</v>
      </c>
      <c r="O105" s="75" t="e">
        <f>'[5]9. Vzdelávanie'!#REF!</f>
        <v>#REF!</v>
      </c>
      <c r="P105" s="214">
        <v>169555</v>
      </c>
      <c r="Q105" s="217">
        <v>169555</v>
      </c>
      <c r="R105" s="217">
        <v>0</v>
      </c>
      <c r="S105" s="218">
        <v>0</v>
      </c>
      <c r="T105" s="76">
        <f t="shared" si="49"/>
        <v>84028</v>
      </c>
      <c r="U105" s="73">
        <f>'[6]9. Vzdelávanie'!$Q$22</f>
        <v>84028</v>
      </c>
      <c r="V105" s="73">
        <f>'[5]9. Vzdelávanie'!$I$40</f>
        <v>0</v>
      </c>
      <c r="W105" s="75">
        <f>'[5]9. Vzdelávanie'!$J$40</f>
        <v>0</v>
      </c>
    </row>
    <row r="106" spans="1:23" ht="15.75" x14ac:dyDescent="0.25">
      <c r="B106" s="70">
        <v>7</v>
      </c>
      <c r="C106" s="84" t="s">
        <v>277</v>
      </c>
      <c r="D106" s="72" t="e">
        <f t="shared" si="46"/>
        <v>#REF!</v>
      </c>
      <c r="E106" s="73">
        <v>128501</v>
      </c>
      <c r="F106" s="73"/>
      <c r="G106" s="74" t="e">
        <f>'[5]9. Vzdelávanie'!#REF!</f>
        <v>#REF!</v>
      </c>
      <c r="H106" s="72">
        <f t="shared" si="47"/>
        <v>122126</v>
      </c>
      <c r="I106" s="73">
        <v>122126</v>
      </c>
      <c r="J106" s="75">
        <v>0</v>
      </c>
      <c r="K106" s="75">
        <v>0</v>
      </c>
      <c r="L106" s="76" t="e">
        <f t="shared" si="48"/>
        <v>#REF!</v>
      </c>
      <c r="M106" s="73" t="e">
        <f>'[5]9. Vzdelávanie'!#REF!</f>
        <v>#REF!</v>
      </c>
      <c r="N106" s="73" t="e">
        <f>'[5]9. Vzdelávanie'!#REF!</f>
        <v>#REF!</v>
      </c>
      <c r="O106" s="75" t="e">
        <f>'[5]9. Vzdelávanie'!#REF!</f>
        <v>#REF!</v>
      </c>
      <c r="P106" s="214">
        <v>127026</v>
      </c>
      <c r="Q106" s="217">
        <v>127026</v>
      </c>
      <c r="R106" s="217">
        <v>0</v>
      </c>
      <c r="S106" s="218">
        <v>0</v>
      </c>
      <c r="T106" s="76" t="e">
        <f t="shared" si="49"/>
        <v>#REF!</v>
      </c>
      <c r="U106" s="73" t="e">
        <f>'[6]9. Vzdelávanie'!#REF!</f>
        <v>#REF!</v>
      </c>
      <c r="V106" s="73" t="e">
        <f>'[5]9. Vzdelávanie'!$I$43</f>
        <v>#REF!</v>
      </c>
      <c r="W106" s="75" t="e">
        <f>'[5]9. Vzdelávanie'!$J$43</f>
        <v>#REF!</v>
      </c>
    </row>
    <row r="107" spans="1:23" ht="15.75" x14ac:dyDescent="0.25">
      <c r="B107" s="193" t="s">
        <v>278</v>
      </c>
      <c r="C107" s="184" t="s">
        <v>279</v>
      </c>
      <c r="D107" s="171" t="e">
        <f t="shared" ref="D107:W107" si="50">SUM(D108:D113)</f>
        <v>#REF!</v>
      </c>
      <c r="E107" s="172">
        <f t="shared" si="50"/>
        <v>3234702</v>
      </c>
      <c r="F107" s="172" t="e">
        <f t="shared" si="50"/>
        <v>#REF!</v>
      </c>
      <c r="G107" s="173" t="e">
        <f t="shared" si="50"/>
        <v>#REF!</v>
      </c>
      <c r="H107" s="171">
        <f t="shared" si="50"/>
        <v>3200175</v>
      </c>
      <c r="I107" s="172">
        <f t="shared" si="50"/>
        <v>3198395</v>
      </c>
      <c r="J107" s="172">
        <f t="shared" si="50"/>
        <v>1780</v>
      </c>
      <c r="K107" s="174">
        <f t="shared" si="50"/>
        <v>0</v>
      </c>
      <c r="L107" s="175" t="e">
        <f t="shared" si="50"/>
        <v>#REF!</v>
      </c>
      <c r="M107" s="172" t="e">
        <f t="shared" si="50"/>
        <v>#REF!</v>
      </c>
      <c r="N107" s="172" t="e">
        <f t="shared" si="50"/>
        <v>#REF!</v>
      </c>
      <c r="O107" s="174" t="e">
        <f t="shared" si="50"/>
        <v>#REF!</v>
      </c>
      <c r="P107" s="214">
        <v>3506810.61</v>
      </c>
      <c r="Q107" s="215">
        <v>3255300.81</v>
      </c>
      <c r="R107" s="215">
        <v>19924.32</v>
      </c>
      <c r="S107" s="216">
        <v>231585.48</v>
      </c>
      <c r="T107" s="175" t="e">
        <f t="shared" si="50"/>
        <v>#REF!</v>
      </c>
      <c r="U107" s="172">
        <f t="shared" si="50"/>
        <v>5061640</v>
      </c>
      <c r="V107" s="172" t="e">
        <f t="shared" si="50"/>
        <v>#REF!</v>
      </c>
      <c r="W107" s="174" t="e">
        <f t="shared" si="50"/>
        <v>#REF!</v>
      </c>
    </row>
    <row r="108" spans="1:23" ht="15.75" x14ac:dyDescent="0.25">
      <c r="B108" s="70">
        <v>1</v>
      </c>
      <c r="C108" s="84" t="s">
        <v>280</v>
      </c>
      <c r="D108" s="72" t="e">
        <f t="shared" ref="D108:D113" si="51">SUM(E108:G108)</f>
        <v>#REF!</v>
      </c>
      <c r="E108" s="73">
        <v>328366</v>
      </c>
      <c r="F108" s="73" t="e">
        <f>'[5]9. Vzdelávanie'!#REF!</f>
        <v>#REF!</v>
      </c>
      <c r="G108" s="74" t="e">
        <f>'[5]9. Vzdelávanie'!#REF!</f>
        <v>#REF!</v>
      </c>
      <c r="H108" s="72">
        <f t="shared" ref="H108:H113" si="52">SUM(I108:K108)</f>
        <v>282825</v>
      </c>
      <c r="I108" s="73">
        <v>282825</v>
      </c>
      <c r="J108" s="75">
        <v>0</v>
      </c>
      <c r="K108" s="75">
        <v>0</v>
      </c>
      <c r="L108" s="76" t="e">
        <f t="shared" ref="L108:L113" si="53">SUM(M108:O108)</f>
        <v>#REF!</v>
      </c>
      <c r="M108" s="73" t="e">
        <f>'[5]9. Vzdelávanie'!#REF!</f>
        <v>#REF!</v>
      </c>
      <c r="N108" s="73" t="e">
        <f>'[5]9. Vzdelávanie'!#REF!</f>
        <v>#REF!</v>
      </c>
      <c r="O108" s="75" t="e">
        <f>'[5]9. Vzdelávanie'!#REF!</f>
        <v>#REF!</v>
      </c>
      <c r="P108" s="214">
        <v>282259</v>
      </c>
      <c r="Q108" s="217">
        <v>282259</v>
      </c>
      <c r="R108" s="217">
        <v>0</v>
      </c>
      <c r="S108" s="218">
        <v>0</v>
      </c>
      <c r="T108" s="76" t="e">
        <f t="shared" ref="T108:T113" si="54">SUM(U108:W108)</f>
        <v>#REF!</v>
      </c>
      <c r="U108" s="73">
        <f>'[6]9. Vzdelávanie'!$Q$25</f>
        <v>185514</v>
      </c>
      <c r="V108" s="73" t="e">
        <f>'[5]9. Vzdelávanie'!$I$46</f>
        <v>#REF!</v>
      </c>
      <c r="W108" s="75" t="e">
        <f>'[5]9. Vzdelávanie'!$J$46</f>
        <v>#REF!</v>
      </c>
    </row>
    <row r="109" spans="1:23" ht="15.75" x14ac:dyDescent="0.25">
      <c r="B109" s="70">
        <v>2</v>
      </c>
      <c r="C109" s="84" t="s">
        <v>281</v>
      </c>
      <c r="D109" s="72" t="e">
        <f t="shared" si="51"/>
        <v>#REF!</v>
      </c>
      <c r="E109" s="73">
        <v>570052</v>
      </c>
      <c r="F109" s="73">
        <v>69468</v>
      </c>
      <c r="G109" s="74" t="e">
        <f>'[5]9. Vzdelávanie'!#REF!</f>
        <v>#REF!</v>
      </c>
      <c r="H109" s="72">
        <f t="shared" si="52"/>
        <v>581965</v>
      </c>
      <c r="I109" s="73">
        <v>581965</v>
      </c>
      <c r="J109" s="75">
        <v>0</v>
      </c>
      <c r="K109" s="75">
        <v>0</v>
      </c>
      <c r="L109" s="76" t="e">
        <f t="shared" si="53"/>
        <v>#REF!</v>
      </c>
      <c r="M109" s="73" t="e">
        <f>'[5]9. Vzdelávanie'!#REF!</f>
        <v>#REF!</v>
      </c>
      <c r="N109" s="73" t="e">
        <f>'[5]9. Vzdelávanie'!#REF!</f>
        <v>#REF!</v>
      </c>
      <c r="O109" s="75" t="e">
        <f>'[5]9. Vzdelávanie'!#REF!</f>
        <v>#REF!</v>
      </c>
      <c r="P109" s="214">
        <v>546122</v>
      </c>
      <c r="Q109" s="217">
        <v>546122</v>
      </c>
      <c r="R109" s="217">
        <v>0</v>
      </c>
      <c r="S109" s="218">
        <v>0</v>
      </c>
      <c r="T109" s="76" t="e">
        <f t="shared" si="54"/>
        <v>#REF!</v>
      </c>
      <c r="U109" s="73">
        <f>'[6]9. Vzdelávanie'!$Q$26</f>
        <v>33520</v>
      </c>
      <c r="V109" s="73" t="e">
        <f>'[5]9. Vzdelávanie'!$I$47</f>
        <v>#REF!</v>
      </c>
      <c r="W109" s="75" t="e">
        <f>'[5]9. Vzdelávanie'!$J$47</f>
        <v>#REF!</v>
      </c>
    </row>
    <row r="110" spans="1:23" ht="15.75" x14ac:dyDescent="0.25">
      <c r="A110" s="85"/>
      <c r="B110" s="70">
        <v>3</v>
      </c>
      <c r="C110" s="84" t="s">
        <v>282</v>
      </c>
      <c r="D110" s="72" t="e">
        <f t="shared" si="51"/>
        <v>#REF!</v>
      </c>
      <c r="E110" s="73">
        <v>787656</v>
      </c>
      <c r="F110" s="73" t="e">
        <f>'[5]9. Vzdelávanie'!#REF!</f>
        <v>#REF!</v>
      </c>
      <c r="G110" s="74" t="e">
        <f>'[5]9. Vzdelávanie'!#REF!</f>
        <v>#REF!</v>
      </c>
      <c r="H110" s="72">
        <f t="shared" si="52"/>
        <v>851849</v>
      </c>
      <c r="I110" s="73">
        <v>851849</v>
      </c>
      <c r="J110" s="75">
        <v>0</v>
      </c>
      <c r="K110" s="75">
        <v>0</v>
      </c>
      <c r="L110" s="76" t="e">
        <f t="shared" si="53"/>
        <v>#REF!</v>
      </c>
      <c r="M110" s="73" t="e">
        <f>'[5]9. Vzdelávanie'!#REF!</f>
        <v>#REF!</v>
      </c>
      <c r="N110" s="73" t="e">
        <f>'[5]9. Vzdelávanie'!#REF!</f>
        <v>#REF!</v>
      </c>
      <c r="O110" s="75" t="e">
        <f>'[5]9. Vzdelávanie'!#REF!</f>
        <v>#REF!</v>
      </c>
      <c r="P110" s="214">
        <v>1151774.29</v>
      </c>
      <c r="Q110" s="217">
        <v>920188.81</v>
      </c>
      <c r="R110" s="217">
        <v>0</v>
      </c>
      <c r="S110" s="236">
        <v>231585.48</v>
      </c>
      <c r="T110" s="76">
        <f t="shared" si="54"/>
        <v>4018433</v>
      </c>
      <c r="U110" s="73">
        <f>'[6]9. Vzdelávanie'!$Q$27</f>
        <v>3786847</v>
      </c>
      <c r="V110" s="73">
        <f>'[5]9. Vzdelávanie'!$I$48</f>
        <v>0</v>
      </c>
      <c r="W110" s="75">
        <f>'[5]9. Vzdelávanie'!$J$48</f>
        <v>231586</v>
      </c>
    </row>
    <row r="111" spans="1:23" ht="15.75" x14ac:dyDescent="0.25">
      <c r="A111" s="85"/>
      <c r="B111" s="70">
        <v>4</v>
      </c>
      <c r="C111" s="84" t="s">
        <v>283</v>
      </c>
      <c r="D111" s="72" t="e">
        <f t="shared" si="51"/>
        <v>#REF!</v>
      </c>
      <c r="E111" s="73">
        <v>643464</v>
      </c>
      <c r="F111" s="73"/>
      <c r="G111" s="74" t="e">
        <f>'[5]9. Vzdelávanie'!#REF!</f>
        <v>#REF!</v>
      </c>
      <c r="H111" s="72">
        <f t="shared" si="52"/>
        <v>610772</v>
      </c>
      <c r="I111" s="73">
        <v>608992</v>
      </c>
      <c r="J111" s="73">
        <v>1780</v>
      </c>
      <c r="K111" s="75">
        <v>0</v>
      </c>
      <c r="L111" s="76" t="e">
        <f t="shared" si="53"/>
        <v>#REF!</v>
      </c>
      <c r="M111" s="73" t="e">
        <f>'[5]9. Vzdelávanie'!#REF!</f>
        <v>#REF!</v>
      </c>
      <c r="N111" s="73" t="e">
        <f>'[5]9. Vzdelávanie'!#REF!</f>
        <v>#REF!</v>
      </c>
      <c r="O111" s="75" t="e">
        <f>'[5]9. Vzdelávanie'!#REF!</f>
        <v>#REF!</v>
      </c>
      <c r="P111" s="214">
        <v>606541</v>
      </c>
      <c r="Q111" s="217">
        <v>606541</v>
      </c>
      <c r="R111" s="217">
        <v>0</v>
      </c>
      <c r="S111" s="218">
        <v>0</v>
      </c>
      <c r="T111" s="76" t="e">
        <f t="shared" si="54"/>
        <v>#REF!</v>
      </c>
      <c r="U111" s="73">
        <f>'[6]9. Vzdelávanie'!$Q$36</f>
        <v>0</v>
      </c>
      <c r="V111" s="73" t="e">
        <f>'[5]9. Vzdelávanie'!$I$53</f>
        <v>#REF!</v>
      </c>
      <c r="W111" s="75" t="e">
        <f>'[5]9. Vzdelávanie'!$J$53</f>
        <v>#REF!</v>
      </c>
    </row>
    <row r="112" spans="1:23" ht="15.75" x14ac:dyDescent="0.25">
      <c r="A112" s="85"/>
      <c r="B112" s="70">
        <v>5</v>
      </c>
      <c r="C112" s="84" t="s">
        <v>284</v>
      </c>
      <c r="D112" s="72" t="e">
        <f t="shared" si="51"/>
        <v>#REF!</v>
      </c>
      <c r="E112" s="73">
        <v>596449</v>
      </c>
      <c r="F112" s="73" t="e">
        <f>'[5]9. Vzdelávanie'!#REF!</f>
        <v>#REF!</v>
      </c>
      <c r="G112" s="74" t="e">
        <f>'[5]9. Vzdelávanie'!#REF!</f>
        <v>#REF!</v>
      </c>
      <c r="H112" s="72">
        <f t="shared" si="52"/>
        <v>554735</v>
      </c>
      <c r="I112" s="73">
        <v>554735</v>
      </c>
      <c r="J112" s="75">
        <v>0</v>
      </c>
      <c r="K112" s="75">
        <v>0</v>
      </c>
      <c r="L112" s="76" t="e">
        <f t="shared" si="53"/>
        <v>#REF!</v>
      </c>
      <c r="M112" s="73" t="e">
        <f>'[5]9. Vzdelávanie'!#REF!</f>
        <v>#REF!</v>
      </c>
      <c r="N112" s="73" t="e">
        <f>'[5]9. Vzdelávanie'!#REF!</f>
        <v>#REF!</v>
      </c>
      <c r="O112" s="75" t="e">
        <f>'[5]9. Vzdelávanie'!#REF!</f>
        <v>#REF!</v>
      </c>
      <c r="P112" s="214">
        <v>576050</v>
      </c>
      <c r="Q112" s="217">
        <v>576050</v>
      </c>
      <c r="R112" s="217">
        <v>0</v>
      </c>
      <c r="S112" s="218">
        <v>0</v>
      </c>
      <c r="T112" s="76" t="e">
        <f t="shared" si="54"/>
        <v>#REF!</v>
      </c>
      <c r="U112" s="73">
        <f>'[6]9. Vzdelávanie'!$Q$37</f>
        <v>1055759</v>
      </c>
      <c r="V112" s="73">
        <f>'[5]9. Vzdelávanie'!$I$54</f>
        <v>4320</v>
      </c>
      <c r="W112" s="75" t="e">
        <f>'[5]9. Vzdelávanie'!$J$54</f>
        <v>#REF!</v>
      </c>
    </row>
    <row r="113" spans="1:23" ht="15.75" x14ac:dyDescent="0.25">
      <c r="A113" s="85"/>
      <c r="B113" s="70">
        <v>6</v>
      </c>
      <c r="C113" s="84" t="s">
        <v>285</v>
      </c>
      <c r="D113" s="72" t="e">
        <f t="shared" si="51"/>
        <v>#REF!</v>
      </c>
      <c r="E113" s="73">
        <v>308715</v>
      </c>
      <c r="F113" s="73" t="e">
        <f>'[5]9. Vzdelávanie'!#REF!</f>
        <v>#REF!</v>
      </c>
      <c r="G113" s="74" t="e">
        <f>'[5]9. Vzdelávanie'!#REF!</f>
        <v>#REF!</v>
      </c>
      <c r="H113" s="72">
        <f t="shared" si="52"/>
        <v>318029</v>
      </c>
      <c r="I113" s="73">
        <v>318029</v>
      </c>
      <c r="J113" s="75">
        <v>0</v>
      </c>
      <c r="K113" s="75">
        <v>0</v>
      </c>
      <c r="L113" s="76" t="e">
        <f t="shared" si="53"/>
        <v>#REF!</v>
      </c>
      <c r="M113" s="73" t="e">
        <f>'[5]9. Vzdelávanie'!#REF!</f>
        <v>#REF!</v>
      </c>
      <c r="N113" s="73" t="e">
        <f>'[5]9. Vzdelávanie'!#REF!</f>
        <v>#REF!</v>
      </c>
      <c r="O113" s="75" t="e">
        <f>'[5]9. Vzdelávanie'!#REF!</f>
        <v>#REF!</v>
      </c>
      <c r="P113" s="214">
        <v>344064.32</v>
      </c>
      <c r="Q113" s="217">
        <v>324140</v>
      </c>
      <c r="R113" s="237">
        <v>19924.32</v>
      </c>
      <c r="S113" s="218">
        <v>0</v>
      </c>
      <c r="T113" s="76">
        <f t="shared" si="54"/>
        <v>0</v>
      </c>
      <c r="U113" s="73">
        <f>'[6]9. Vzdelávanie'!$Q$38</f>
        <v>0</v>
      </c>
      <c r="V113" s="73">
        <f>'[6]9. Vzdelávanie'!$R$38</f>
        <v>0</v>
      </c>
      <c r="W113" s="75">
        <f>'[5]9. Vzdelávanie'!$J$55</f>
        <v>0</v>
      </c>
    </row>
    <row r="114" spans="1:23" ht="15.75" x14ac:dyDescent="0.25">
      <c r="A114" s="85"/>
      <c r="B114" s="193" t="s">
        <v>286</v>
      </c>
      <c r="C114" s="184" t="s">
        <v>287</v>
      </c>
      <c r="D114" s="171" t="e">
        <f t="shared" ref="D114:W114" si="55">SUM(D115:D116)</f>
        <v>#REF!</v>
      </c>
      <c r="E114" s="172">
        <f t="shared" si="55"/>
        <v>546333</v>
      </c>
      <c r="F114" s="172" t="e">
        <f t="shared" si="55"/>
        <v>#REF!</v>
      </c>
      <c r="G114" s="173" t="e">
        <f t="shared" si="55"/>
        <v>#REF!</v>
      </c>
      <c r="H114" s="171">
        <f t="shared" si="55"/>
        <v>538949</v>
      </c>
      <c r="I114" s="172">
        <f t="shared" si="55"/>
        <v>538949</v>
      </c>
      <c r="J114" s="172">
        <f t="shared" si="55"/>
        <v>0</v>
      </c>
      <c r="K114" s="174">
        <f t="shared" si="55"/>
        <v>0</v>
      </c>
      <c r="L114" s="175" t="e">
        <f t="shared" si="55"/>
        <v>#REF!</v>
      </c>
      <c r="M114" s="172" t="e">
        <f t="shared" si="55"/>
        <v>#REF!</v>
      </c>
      <c r="N114" s="172" t="e">
        <f t="shared" si="55"/>
        <v>#REF!</v>
      </c>
      <c r="O114" s="174" t="e">
        <f t="shared" si="55"/>
        <v>#REF!</v>
      </c>
      <c r="P114" s="214">
        <v>566109</v>
      </c>
      <c r="Q114" s="215">
        <v>566109</v>
      </c>
      <c r="R114" s="215">
        <v>0</v>
      </c>
      <c r="S114" s="216">
        <v>0</v>
      </c>
      <c r="T114" s="175" t="e">
        <f t="shared" si="55"/>
        <v>#REF!</v>
      </c>
      <c r="U114" s="172" t="e">
        <f t="shared" si="55"/>
        <v>#REF!</v>
      </c>
      <c r="V114" s="172" t="e">
        <f t="shared" si="55"/>
        <v>#REF!</v>
      </c>
      <c r="W114" s="174" t="e">
        <f t="shared" si="55"/>
        <v>#REF!</v>
      </c>
    </row>
    <row r="115" spans="1:23" ht="15.75" x14ac:dyDescent="0.25">
      <c r="A115" s="85"/>
      <c r="B115" s="70">
        <v>1</v>
      </c>
      <c r="C115" s="84" t="s">
        <v>288</v>
      </c>
      <c r="D115" s="72" t="e">
        <f>SUM(E115:G115)</f>
        <v>#REF!</v>
      </c>
      <c r="E115" s="73">
        <v>317206</v>
      </c>
      <c r="F115" s="73" t="e">
        <f>'[5]9. Vzdelávanie'!#REF!</f>
        <v>#REF!</v>
      </c>
      <c r="G115" s="74" t="e">
        <f>'[5]9. Vzdelávanie'!#REF!</f>
        <v>#REF!</v>
      </c>
      <c r="H115" s="72">
        <f>SUM(I115:K115)</f>
        <v>300158</v>
      </c>
      <c r="I115" s="73">
        <v>300158</v>
      </c>
      <c r="J115" s="75">
        <v>0</v>
      </c>
      <c r="K115" s="75">
        <v>0</v>
      </c>
      <c r="L115" s="76" t="e">
        <f>SUM(M115:O115)</f>
        <v>#REF!</v>
      </c>
      <c r="M115" s="73" t="e">
        <f>'[5]9. Vzdelávanie'!#REF!</f>
        <v>#REF!</v>
      </c>
      <c r="N115" s="73" t="e">
        <f>'[5]9. Vzdelávanie'!#REF!</f>
        <v>#REF!</v>
      </c>
      <c r="O115" s="75" t="e">
        <f>'[5]9. Vzdelávanie'!#REF!</f>
        <v>#REF!</v>
      </c>
      <c r="P115" s="214">
        <v>318002</v>
      </c>
      <c r="Q115" s="217">
        <v>318002</v>
      </c>
      <c r="R115" s="217">
        <v>0</v>
      </c>
      <c r="S115" s="218">
        <v>0</v>
      </c>
      <c r="T115" s="76" t="e">
        <f>SUM(U115:W115)</f>
        <v>#REF!</v>
      </c>
      <c r="U115" s="73">
        <f>'[6]9. Vzdelávanie'!$Q$46</f>
        <v>403289</v>
      </c>
      <c r="V115" s="73" t="e">
        <f>'[5]9. Vzdelávanie'!$I$59</f>
        <v>#REF!</v>
      </c>
      <c r="W115" s="75" t="e">
        <f>'[5]9. Vzdelávanie'!$J$59</f>
        <v>#REF!</v>
      </c>
    </row>
    <row r="116" spans="1:23" ht="15.75" x14ac:dyDescent="0.25">
      <c r="A116" s="85"/>
      <c r="B116" s="70">
        <v>2</v>
      </c>
      <c r="C116" s="84" t="s">
        <v>289</v>
      </c>
      <c r="D116" s="72" t="e">
        <f>SUM(E116:G116)</f>
        <v>#REF!</v>
      </c>
      <c r="E116" s="73">
        <v>229127</v>
      </c>
      <c r="F116" s="73" t="e">
        <f>'[5]9. Vzdelávanie'!#REF!</f>
        <v>#REF!</v>
      </c>
      <c r="G116" s="74" t="e">
        <f>'[5]9. Vzdelávanie'!#REF!</f>
        <v>#REF!</v>
      </c>
      <c r="H116" s="72">
        <f>SUM(I116:K116)</f>
        <v>238791</v>
      </c>
      <c r="I116" s="73">
        <v>238791</v>
      </c>
      <c r="J116" s="75">
        <v>0</v>
      </c>
      <c r="K116" s="75">
        <v>0</v>
      </c>
      <c r="L116" s="76" t="e">
        <f>SUM(M116:O116)</f>
        <v>#REF!</v>
      </c>
      <c r="M116" s="73" t="e">
        <f>'[5]9. Vzdelávanie'!#REF!</f>
        <v>#REF!</v>
      </c>
      <c r="N116" s="73" t="e">
        <f>'[5]9. Vzdelávanie'!#REF!</f>
        <v>#REF!</v>
      </c>
      <c r="O116" s="75" t="e">
        <f>'[5]9. Vzdelávanie'!#REF!</f>
        <v>#REF!</v>
      </c>
      <c r="P116" s="214">
        <v>248107</v>
      </c>
      <c r="Q116" s="217">
        <v>248107</v>
      </c>
      <c r="R116" s="217">
        <v>0</v>
      </c>
      <c r="S116" s="218">
        <v>0</v>
      </c>
      <c r="T116" s="76" t="e">
        <f>SUM(U116:W116)</f>
        <v>#REF!</v>
      </c>
      <c r="U116" s="73" t="e">
        <f>'[6]9. Vzdelávanie'!#REF!</f>
        <v>#REF!</v>
      </c>
      <c r="V116" s="73" t="e">
        <f>'[5]9. Vzdelávanie'!$I$60</f>
        <v>#REF!</v>
      </c>
      <c r="W116" s="75" t="e">
        <f>'[5]9. Vzdelávanie'!$J$60</f>
        <v>#REF!</v>
      </c>
    </row>
    <row r="117" spans="1:23" ht="15.75" x14ac:dyDescent="0.25">
      <c r="A117" s="85"/>
      <c r="B117" s="197" t="s">
        <v>290</v>
      </c>
      <c r="C117" s="184" t="s">
        <v>291</v>
      </c>
      <c r="D117" s="171" t="e">
        <f>SUM(E117:G117)</f>
        <v>#REF!</v>
      </c>
      <c r="E117" s="172">
        <v>131871</v>
      </c>
      <c r="F117" s="172" t="e">
        <f>'[5]9. Vzdelávanie'!#REF!</f>
        <v>#REF!</v>
      </c>
      <c r="G117" s="173" t="e">
        <f>'[5]9. Vzdelávanie'!#REF!</f>
        <v>#REF!</v>
      </c>
      <c r="H117" s="171">
        <f>SUM(I117:K117)</f>
        <v>154105.49</v>
      </c>
      <c r="I117" s="172">
        <v>154105.49</v>
      </c>
      <c r="J117" s="172">
        <v>0</v>
      </c>
      <c r="K117" s="174">
        <v>0</v>
      </c>
      <c r="L117" s="175" t="e">
        <f>SUM(M117:O117)</f>
        <v>#REF!</v>
      </c>
      <c r="M117" s="172" t="e">
        <f>'[5]9. Vzdelávanie'!#REF!</f>
        <v>#REF!</v>
      </c>
      <c r="N117" s="172" t="e">
        <f>'[5]9. Vzdelávanie'!#REF!</f>
        <v>#REF!</v>
      </c>
      <c r="O117" s="174" t="e">
        <f>'[5]9. Vzdelávanie'!#REF!</f>
        <v>#REF!</v>
      </c>
      <c r="P117" s="214">
        <v>157758.09</v>
      </c>
      <c r="Q117" s="238">
        <v>157758.09</v>
      </c>
      <c r="R117" s="215">
        <v>0</v>
      </c>
      <c r="S117" s="216">
        <v>0</v>
      </c>
      <c r="T117" s="175">
        <f>SUM(U117:W117)</f>
        <v>212760</v>
      </c>
      <c r="U117" s="172">
        <f>'[5]9. Vzdelávanie'!$H$61</f>
        <v>212760</v>
      </c>
      <c r="V117" s="172">
        <f>'[5]9. Vzdelávanie'!$I$61</f>
        <v>0</v>
      </c>
      <c r="W117" s="174">
        <f>'[5]9. Vzdelávanie'!$J$61</f>
        <v>0</v>
      </c>
    </row>
    <row r="118" spans="1:23" ht="13.5" x14ac:dyDescent="0.25">
      <c r="A118" s="85"/>
      <c r="B118" s="197" t="s">
        <v>292</v>
      </c>
      <c r="C118" s="198" t="s">
        <v>293</v>
      </c>
      <c r="D118" s="171" t="e">
        <f>SUM(E118:G118)</f>
        <v>#REF!</v>
      </c>
      <c r="E118" s="172">
        <v>204439</v>
      </c>
      <c r="F118" s="172"/>
      <c r="G118" s="173" t="e">
        <f>'[5]9. Vzdelávanie'!#REF!</f>
        <v>#REF!</v>
      </c>
      <c r="H118" s="171">
        <f>SUM(I118:K118)</f>
        <v>195970.49</v>
      </c>
      <c r="I118" s="172">
        <v>195488.49</v>
      </c>
      <c r="J118" s="172">
        <v>482</v>
      </c>
      <c r="K118" s="174">
        <v>0</v>
      </c>
      <c r="L118" s="175" t="e">
        <f>SUM(M118:O118)</f>
        <v>#REF!</v>
      </c>
      <c r="M118" s="172" t="e">
        <f>'[5]9. Vzdelávanie'!#REF!</f>
        <v>#REF!</v>
      </c>
      <c r="N118" s="172" t="e">
        <f>'[5]9. Vzdelávanie'!#REF!</f>
        <v>#REF!</v>
      </c>
      <c r="O118" s="174" t="e">
        <f>'[5]9. Vzdelávanie'!#REF!</f>
        <v>#REF!</v>
      </c>
      <c r="P118" s="214">
        <v>201502.34</v>
      </c>
      <c r="Q118" s="238">
        <v>201502.34</v>
      </c>
      <c r="R118" s="215">
        <v>0</v>
      </c>
      <c r="S118" s="216">
        <v>0</v>
      </c>
      <c r="T118" s="175" t="e">
        <f>SUM(U118:W118)</f>
        <v>#REF!</v>
      </c>
      <c r="U118" s="172">
        <f>'[5]9. Vzdelávanie'!$H$72</f>
        <v>243590</v>
      </c>
      <c r="V118" s="172" t="e">
        <f>'[5]9. Vzdelávanie'!$I$72</f>
        <v>#REF!</v>
      </c>
      <c r="W118" s="174" t="e">
        <f>'[5]9. Vzdelávanie'!$J$72</f>
        <v>#REF!</v>
      </c>
    </row>
    <row r="119" spans="1:23" ht="14.25" thickBot="1" x14ac:dyDescent="0.3">
      <c r="A119" s="85"/>
      <c r="B119" s="199" t="s">
        <v>294</v>
      </c>
      <c r="C119" s="200" t="s">
        <v>295</v>
      </c>
      <c r="D119" s="178" t="e">
        <f>SUM(E119:G119)</f>
        <v>#REF!</v>
      </c>
      <c r="E119" s="179">
        <v>0</v>
      </c>
      <c r="F119" s="179" t="e">
        <f>'[5]9. Vzdelávanie'!#REF!</f>
        <v>#REF!</v>
      </c>
      <c r="G119" s="180" t="e">
        <f>'[5]9. Vzdelávanie'!#REF!</f>
        <v>#REF!</v>
      </c>
      <c r="H119" s="186">
        <v>0</v>
      </c>
      <c r="I119" s="181">
        <v>0</v>
      </c>
      <c r="J119" s="181">
        <v>0</v>
      </c>
      <c r="K119" s="182">
        <v>0</v>
      </c>
      <c r="L119" s="187" t="e">
        <f>SUM(M119:O119)</f>
        <v>#REF!</v>
      </c>
      <c r="M119" s="179" t="e">
        <f>'[5]9. Vzdelávanie'!#REF!</f>
        <v>#REF!</v>
      </c>
      <c r="N119" s="179" t="e">
        <f>'[5]9. Vzdelávanie'!#REF!</f>
        <v>#REF!</v>
      </c>
      <c r="O119" s="188" t="e">
        <f>'[5]9. Vzdelávanie'!#REF!</f>
        <v>#REF!</v>
      </c>
      <c r="P119" s="224">
        <v>0</v>
      </c>
      <c r="Q119" s="225">
        <v>0</v>
      </c>
      <c r="R119" s="225">
        <v>0</v>
      </c>
      <c r="S119" s="226">
        <v>0</v>
      </c>
      <c r="T119" s="175">
        <f>SUM(U119:W119)</f>
        <v>0</v>
      </c>
      <c r="U119" s="179">
        <f>'[5]9. Vzdelávanie'!$H$73</f>
        <v>0</v>
      </c>
      <c r="V119" s="179">
        <f>'[5]9. Vzdelávanie'!$I$73</f>
        <v>0</v>
      </c>
      <c r="W119" s="188">
        <f>'[5]9. Vzdelávanie'!$J$73</f>
        <v>0</v>
      </c>
    </row>
    <row r="120" spans="1:23" s="63" customFormat="1" ht="14.25" x14ac:dyDescent="0.2">
      <c r="A120" s="93"/>
      <c r="B120" s="154" t="s">
        <v>296</v>
      </c>
      <c r="C120" s="158"/>
      <c r="D120" s="149" t="e">
        <f t="shared" ref="D120:W120" si="56">D121+D122+D129</f>
        <v>#REF!</v>
      </c>
      <c r="E120" s="150">
        <f t="shared" si="56"/>
        <v>238491</v>
      </c>
      <c r="F120" s="150" t="e">
        <f t="shared" si="56"/>
        <v>#REF!</v>
      </c>
      <c r="G120" s="151" t="e">
        <f t="shared" si="56"/>
        <v>#REF!</v>
      </c>
      <c r="H120" s="149" t="e">
        <f t="shared" si="56"/>
        <v>#REF!</v>
      </c>
      <c r="I120" s="150">
        <f t="shared" si="56"/>
        <v>191345</v>
      </c>
      <c r="J120" s="150" t="e">
        <f t="shared" si="56"/>
        <v>#REF!</v>
      </c>
      <c r="K120" s="152">
        <f t="shared" si="56"/>
        <v>0</v>
      </c>
      <c r="L120" s="149" t="e">
        <f t="shared" si="56"/>
        <v>#REF!</v>
      </c>
      <c r="M120" s="150" t="e">
        <f t="shared" si="56"/>
        <v>#REF!</v>
      </c>
      <c r="N120" s="150" t="e">
        <f t="shared" si="56"/>
        <v>#REF!</v>
      </c>
      <c r="O120" s="152" t="e">
        <f t="shared" si="56"/>
        <v>#REF!</v>
      </c>
      <c r="P120" s="239">
        <v>773128.95</v>
      </c>
      <c r="Q120" s="223">
        <v>293226.87</v>
      </c>
      <c r="R120" s="223">
        <v>479902.08</v>
      </c>
      <c r="S120" s="227">
        <v>0</v>
      </c>
      <c r="T120" s="149" t="e">
        <f t="shared" si="56"/>
        <v>#REF!</v>
      </c>
      <c r="U120" s="150" t="e">
        <f t="shared" si="56"/>
        <v>#REF!</v>
      </c>
      <c r="V120" s="150" t="e">
        <f t="shared" si="56"/>
        <v>#REF!</v>
      </c>
      <c r="W120" s="152" t="e">
        <f t="shared" si="56"/>
        <v>#REF!</v>
      </c>
    </row>
    <row r="121" spans="1:23" ht="16.5" x14ac:dyDescent="0.3">
      <c r="B121" s="193" t="s">
        <v>297</v>
      </c>
      <c r="C121" s="189" t="s">
        <v>298</v>
      </c>
      <c r="D121" s="171" t="e">
        <f>SUM(E121:G121)</f>
        <v>#REF!</v>
      </c>
      <c r="E121" s="172">
        <v>1794</v>
      </c>
      <c r="F121" s="172" t="e">
        <f>'[5]10. Šport'!#REF!</f>
        <v>#REF!</v>
      </c>
      <c r="G121" s="173" t="e">
        <f>'[5]10. Šport'!#REF!</f>
        <v>#REF!</v>
      </c>
      <c r="H121" s="171">
        <f>SUM(I121:K121)</f>
        <v>456</v>
      </c>
      <c r="I121" s="172">
        <v>456</v>
      </c>
      <c r="J121" s="172">
        <v>0</v>
      </c>
      <c r="K121" s="174">
        <v>0</v>
      </c>
      <c r="L121" s="171" t="e">
        <f>SUM(M121:O121)</f>
        <v>#REF!</v>
      </c>
      <c r="M121" s="172" t="e">
        <f>'[5]10. Šport'!#REF!</f>
        <v>#REF!</v>
      </c>
      <c r="N121" s="172" t="e">
        <f>'[5]10. Šport'!#REF!</f>
        <v>#REF!</v>
      </c>
      <c r="O121" s="174" t="e">
        <f>'[5]10. Šport'!#REF!</f>
        <v>#REF!</v>
      </c>
      <c r="P121" s="240">
        <v>242.5</v>
      </c>
      <c r="Q121" s="215">
        <v>242.5</v>
      </c>
      <c r="R121" s="215">
        <v>0</v>
      </c>
      <c r="S121" s="216">
        <v>0</v>
      </c>
      <c r="T121" s="171">
        <f>SUM(U121:W121)</f>
        <v>500</v>
      </c>
      <c r="U121" s="172">
        <f>'[5]10. Šport'!$H$4</f>
        <v>500</v>
      </c>
      <c r="V121" s="172">
        <f>'[5]10. Šport'!$I$4</f>
        <v>0</v>
      </c>
      <c r="W121" s="174">
        <f>'[5]10. Šport'!$J$4</f>
        <v>0</v>
      </c>
    </row>
    <row r="122" spans="1:23" ht="15.75" x14ac:dyDescent="0.25">
      <c r="B122" s="193" t="s">
        <v>299</v>
      </c>
      <c r="C122" s="184" t="s">
        <v>300</v>
      </c>
      <c r="D122" s="171" t="e">
        <f t="shared" ref="D122:V122" si="57">SUM(D123:D127)</f>
        <v>#REF!</v>
      </c>
      <c r="E122" s="172">
        <f t="shared" si="57"/>
        <v>167023</v>
      </c>
      <c r="F122" s="172" t="e">
        <f t="shared" si="57"/>
        <v>#REF!</v>
      </c>
      <c r="G122" s="173" t="e">
        <f t="shared" si="57"/>
        <v>#REF!</v>
      </c>
      <c r="H122" s="171" t="e">
        <f t="shared" si="57"/>
        <v>#REF!</v>
      </c>
      <c r="I122" s="172">
        <f t="shared" si="57"/>
        <v>140889</v>
      </c>
      <c r="J122" s="172" t="e">
        <f t="shared" si="57"/>
        <v>#REF!</v>
      </c>
      <c r="K122" s="174">
        <f t="shared" si="57"/>
        <v>0</v>
      </c>
      <c r="L122" s="171" t="e">
        <f t="shared" si="57"/>
        <v>#REF!</v>
      </c>
      <c r="M122" s="172" t="e">
        <f t="shared" si="57"/>
        <v>#REF!</v>
      </c>
      <c r="N122" s="172" t="e">
        <f t="shared" si="57"/>
        <v>#REF!</v>
      </c>
      <c r="O122" s="174" t="e">
        <f t="shared" si="57"/>
        <v>#REF!</v>
      </c>
      <c r="P122" s="240">
        <v>722886.45</v>
      </c>
      <c r="Q122" s="215">
        <v>242984.37</v>
      </c>
      <c r="R122" s="215">
        <v>479902.08</v>
      </c>
      <c r="S122" s="216">
        <v>0</v>
      </c>
      <c r="T122" s="171">
        <f t="shared" si="57"/>
        <v>125644</v>
      </c>
      <c r="U122" s="172">
        <f>SUM(U123:U128)</f>
        <v>137644</v>
      </c>
      <c r="V122" s="172">
        <f t="shared" si="57"/>
        <v>0</v>
      </c>
      <c r="W122" s="174">
        <f>SUM(W123:W128)</f>
        <v>0</v>
      </c>
    </row>
    <row r="123" spans="1:23" ht="15.75" x14ac:dyDescent="0.25">
      <c r="B123" s="70">
        <v>1</v>
      </c>
      <c r="C123" s="84" t="s">
        <v>301</v>
      </c>
      <c r="D123" s="72" t="e">
        <f t="shared" ref="D123:D129" si="58">SUM(E123:G123)</f>
        <v>#REF!</v>
      </c>
      <c r="E123" s="73">
        <v>58794</v>
      </c>
      <c r="F123" s="73" t="e">
        <f>'[5]10. Šport'!#REF!</f>
        <v>#REF!</v>
      </c>
      <c r="G123" s="74" t="e">
        <f>'[5]10. Šport'!#REF!</f>
        <v>#REF!</v>
      </c>
      <c r="H123" s="72">
        <f t="shared" ref="H123:H129" si="59">SUM(I123:K123)</f>
        <v>16299</v>
      </c>
      <c r="I123" s="73">
        <v>16299</v>
      </c>
      <c r="J123" s="73">
        <v>0</v>
      </c>
      <c r="K123" s="75">
        <v>0</v>
      </c>
      <c r="L123" s="72" t="e">
        <f t="shared" ref="L123:L129" si="60">SUM(M123:O123)</f>
        <v>#REF!</v>
      </c>
      <c r="M123" s="73" t="e">
        <f>'[5]10. Šport'!#REF!</f>
        <v>#REF!</v>
      </c>
      <c r="N123" s="73" t="e">
        <f>'[5]10. Šport'!#REF!</f>
        <v>#REF!</v>
      </c>
      <c r="O123" s="75" t="e">
        <f>'[5]10. Šport'!#REF!</f>
        <v>#REF!</v>
      </c>
      <c r="P123" s="240">
        <v>52074.76</v>
      </c>
      <c r="Q123" s="217">
        <v>52074.76</v>
      </c>
      <c r="R123" s="217">
        <v>0</v>
      </c>
      <c r="S123" s="218">
        <v>0</v>
      </c>
      <c r="T123" s="72">
        <f t="shared" ref="T123:T129" si="61">SUM(U123:W123)</f>
        <v>42170</v>
      </c>
      <c r="U123" s="73">
        <f>'[5]10. Šport'!$H$9</f>
        <v>42170</v>
      </c>
      <c r="V123" s="73">
        <f>'[5]10. Šport'!$I$9</f>
        <v>0</v>
      </c>
      <c r="W123" s="75">
        <f>'[5]10. Šport'!$J$9</f>
        <v>0</v>
      </c>
    </row>
    <row r="124" spans="1:23" ht="15.75" x14ac:dyDescent="0.25">
      <c r="B124" s="70">
        <v>2</v>
      </c>
      <c r="C124" s="84" t="s">
        <v>302</v>
      </c>
      <c r="D124" s="72" t="e">
        <f t="shared" si="58"/>
        <v>#REF!</v>
      </c>
      <c r="E124" s="73">
        <v>43777</v>
      </c>
      <c r="F124" s="73">
        <v>0</v>
      </c>
      <c r="G124" s="74" t="e">
        <f>'[5]10. Šport'!#REF!</f>
        <v>#REF!</v>
      </c>
      <c r="H124" s="72" t="e">
        <f t="shared" si="59"/>
        <v>#REF!</v>
      </c>
      <c r="I124" s="73">
        <v>27121</v>
      </c>
      <c r="J124" s="73" t="e">
        <f>'[5]10. Šport'!#REF!</f>
        <v>#REF!</v>
      </c>
      <c r="K124" s="75">
        <v>0</v>
      </c>
      <c r="L124" s="72" t="e">
        <f t="shared" si="60"/>
        <v>#REF!</v>
      </c>
      <c r="M124" s="73" t="e">
        <f>'[5]10. Šport'!#REF!</f>
        <v>#REF!</v>
      </c>
      <c r="N124" s="73" t="e">
        <f>'[5]10. Šport'!#REF!</f>
        <v>#REF!</v>
      </c>
      <c r="O124" s="75" t="e">
        <f>'[5]10. Šport'!#REF!</f>
        <v>#REF!</v>
      </c>
      <c r="P124" s="240">
        <v>567083.27</v>
      </c>
      <c r="Q124" s="217">
        <v>87181.19</v>
      </c>
      <c r="R124" s="217">
        <v>479902.08</v>
      </c>
      <c r="S124" s="218">
        <v>0</v>
      </c>
      <c r="T124" s="72">
        <f t="shared" si="61"/>
        <v>45954</v>
      </c>
      <c r="U124" s="73">
        <f>'[5]10. Šport'!$H$23</f>
        <v>45954</v>
      </c>
      <c r="V124" s="73">
        <f>'[5]10. Šport'!$I$23</f>
        <v>0</v>
      </c>
      <c r="W124" s="75">
        <f>'[5]10. Šport'!$J$23</f>
        <v>0</v>
      </c>
    </row>
    <row r="125" spans="1:23" ht="15.75" x14ac:dyDescent="0.25">
      <c r="B125" s="70">
        <v>3</v>
      </c>
      <c r="C125" s="84" t="s">
        <v>303</v>
      </c>
      <c r="D125" s="72" t="e">
        <f t="shared" si="58"/>
        <v>#REF!</v>
      </c>
      <c r="E125" s="73">
        <v>11086</v>
      </c>
      <c r="F125" s="73" t="e">
        <f>'[5]10. Šport'!#REF!</f>
        <v>#REF!</v>
      </c>
      <c r="G125" s="74" t="e">
        <f>'[5]10. Šport'!#REF!</f>
        <v>#REF!</v>
      </c>
      <c r="H125" s="72">
        <f t="shared" si="59"/>
        <v>12071</v>
      </c>
      <c r="I125" s="73">
        <v>12071</v>
      </c>
      <c r="J125" s="73">
        <v>0</v>
      </c>
      <c r="K125" s="75">
        <v>0</v>
      </c>
      <c r="L125" s="72" t="e">
        <f t="shared" si="60"/>
        <v>#REF!</v>
      </c>
      <c r="M125" s="73" t="e">
        <f>'[5]10. Šport'!#REF!</f>
        <v>#REF!</v>
      </c>
      <c r="N125" s="73" t="e">
        <f>'[5]10. Šport'!#REF!</f>
        <v>#REF!</v>
      </c>
      <c r="O125" s="75" t="e">
        <f>'[5]10. Šport'!#REF!</f>
        <v>#REF!</v>
      </c>
      <c r="P125" s="240">
        <v>15001.11</v>
      </c>
      <c r="Q125" s="217">
        <v>15001.11</v>
      </c>
      <c r="R125" s="217">
        <v>0</v>
      </c>
      <c r="S125" s="218">
        <v>0</v>
      </c>
      <c r="T125" s="72">
        <f t="shared" si="61"/>
        <v>18820</v>
      </c>
      <c r="U125" s="73">
        <f>'[5]10. Šport'!$H$36</f>
        <v>18820</v>
      </c>
      <c r="V125" s="73">
        <f>'[5]10. Šport'!$I$36</f>
        <v>0</v>
      </c>
      <c r="W125" s="75">
        <f>'[5]10. Šport'!$J$36</f>
        <v>0</v>
      </c>
    </row>
    <row r="126" spans="1:23" ht="15.75" x14ac:dyDescent="0.25">
      <c r="B126" s="70">
        <v>4</v>
      </c>
      <c r="C126" s="84" t="s">
        <v>304</v>
      </c>
      <c r="D126" s="72" t="e">
        <f t="shared" si="58"/>
        <v>#REF!</v>
      </c>
      <c r="E126" s="73">
        <v>51578.5</v>
      </c>
      <c r="F126" s="73" t="e">
        <f>'[5]10. Šport'!#REF!</f>
        <v>#REF!</v>
      </c>
      <c r="G126" s="74" t="e">
        <f>'[5]10. Šport'!#REF!</f>
        <v>#REF!</v>
      </c>
      <c r="H126" s="72">
        <f t="shared" si="59"/>
        <v>83846</v>
      </c>
      <c r="I126" s="73">
        <v>83846</v>
      </c>
      <c r="J126" s="73">
        <v>0</v>
      </c>
      <c r="K126" s="75">
        <v>0</v>
      </c>
      <c r="L126" s="72" t="e">
        <f t="shared" si="60"/>
        <v>#REF!</v>
      </c>
      <c r="M126" s="73" t="e">
        <f>'[5]10. Šport'!#REF!</f>
        <v>#REF!</v>
      </c>
      <c r="N126" s="73" t="e">
        <f>'[5]10. Šport'!#REF!</f>
        <v>#REF!</v>
      </c>
      <c r="O126" s="75" t="e">
        <f>'[5]10. Šport'!#REF!</f>
        <v>#REF!</v>
      </c>
      <c r="P126" s="240">
        <v>85409.57</v>
      </c>
      <c r="Q126" s="217">
        <v>85409.57</v>
      </c>
      <c r="R126" s="217">
        <v>0</v>
      </c>
      <c r="S126" s="218">
        <v>0</v>
      </c>
      <c r="T126" s="72">
        <f t="shared" si="61"/>
        <v>16800</v>
      </c>
      <c r="U126" s="73">
        <f>'[6]10. Šport'!$Q$38</f>
        <v>16800</v>
      </c>
      <c r="V126" s="73">
        <f>'[5]10. Šport'!$I$44</f>
        <v>0</v>
      </c>
      <c r="W126" s="75">
        <f>'[5]10. Šport'!$J$44</f>
        <v>0</v>
      </c>
    </row>
    <row r="127" spans="1:23" ht="15.75" x14ac:dyDescent="0.25">
      <c r="B127" s="70">
        <v>5</v>
      </c>
      <c r="C127" s="84" t="s">
        <v>305</v>
      </c>
      <c r="D127" s="72" t="e">
        <f t="shared" si="58"/>
        <v>#REF!</v>
      </c>
      <c r="E127" s="73">
        <v>1787.5</v>
      </c>
      <c r="F127" s="73" t="e">
        <f>'[5]10. Šport'!#REF!</f>
        <v>#REF!</v>
      </c>
      <c r="G127" s="74" t="e">
        <f>'[5]10. Šport'!#REF!</f>
        <v>#REF!</v>
      </c>
      <c r="H127" s="72">
        <f t="shared" si="59"/>
        <v>1552</v>
      </c>
      <c r="I127" s="73">
        <v>1552</v>
      </c>
      <c r="J127" s="73">
        <v>0</v>
      </c>
      <c r="K127" s="75">
        <v>0</v>
      </c>
      <c r="L127" s="72" t="e">
        <f t="shared" si="60"/>
        <v>#REF!</v>
      </c>
      <c r="M127" s="73" t="e">
        <f>'[5]10. Šport'!#REF!</f>
        <v>#REF!</v>
      </c>
      <c r="N127" s="73" t="e">
        <f>'[5]10. Šport'!#REF!</f>
        <v>#REF!</v>
      </c>
      <c r="O127" s="75" t="e">
        <f>'[5]10. Šport'!#REF!</f>
        <v>#REF!</v>
      </c>
      <c r="P127" s="240">
        <v>3317.74</v>
      </c>
      <c r="Q127" s="217">
        <v>3317.74</v>
      </c>
      <c r="R127" s="217">
        <v>0</v>
      </c>
      <c r="S127" s="218">
        <v>0</v>
      </c>
      <c r="T127" s="72">
        <f t="shared" si="61"/>
        <v>1900</v>
      </c>
      <c r="U127" s="73">
        <f>'[5]10. Šport'!$H$57</f>
        <v>1900</v>
      </c>
      <c r="V127" s="73">
        <f>'[5]10. Šport'!$I$57</f>
        <v>0</v>
      </c>
      <c r="W127" s="75">
        <f>'[5]10. Šport'!$J$57</f>
        <v>0</v>
      </c>
    </row>
    <row r="128" spans="1:23" ht="15.75" x14ac:dyDescent="0.25">
      <c r="B128" s="127">
        <v>6</v>
      </c>
      <c r="C128" s="128" t="s">
        <v>386</v>
      </c>
      <c r="D128" s="88"/>
      <c r="E128" s="82"/>
      <c r="F128" s="82"/>
      <c r="G128" s="96"/>
      <c r="H128" s="88"/>
      <c r="I128" s="82"/>
      <c r="J128" s="82"/>
      <c r="K128" s="83"/>
      <c r="L128" s="88"/>
      <c r="M128" s="82"/>
      <c r="N128" s="82"/>
      <c r="O128" s="96"/>
      <c r="P128" s="240">
        <v>0</v>
      </c>
      <c r="Q128" s="217">
        <v>0</v>
      </c>
      <c r="R128" s="217">
        <v>0</v>
      </c>
      <c r="S128" s="218">
        <v>0</v>
      </c>
      <c r="T128" s="247">
        <f>SUM(U128:W128)</f>
        <v>12000</v>
      </c>
      <c r="U128" s="82">
        <f>'[6]10. Šport'!$Q$56</f>
        <v>12000</v>
      </c>
      <c r="V128" s="82">
        <f>'[5]10. Šport'!$I$63</f>
        <v>0</v>
      </c>
      <c r="W128" s="83">
        <f>'[5]10. Šport'!$J$63</f>
        <v>0</v>
      </c>
    </row>
    <row r="129" spans="2:23" ht="17.25" thickBot="1" x14ac:dyDescent="0.35">
      <c r="B129" s="190" t="s">
        <v>306</v>
      </c>
      <c r="C129" s="191" t="s">
        <v>307</v>
      </c>
      <c r="D129" s="178" t="e">
        <f t="shared" si="58"/>
        <v>#REF!</v>
      </c>
      <c r="E129" s="179">
        <v>69674</v>
      </c>
      <c r="F129" s="179" t="e">
        <f>'[5]10. Šport'!#REF!</f>
        <v>#REF!</v>
      </c>
      <c r="G129" s="180" t="e">
        <f>'[5]10. Šport'!#REF!</f>
        <v>#REF!</v>
      </c>
      <c r="H129" s="186">
        <f t="shared" si="59"/>
        <v>50000</v>
      </c>
      <c r="I129" s="181">
        <v>50000</v>
      </c>
      <c r="J129" s="181">
        <v>0</v>
      </c>
      <c r="K129" s="182">
        <v>0</v>
      </c>
      <c r="L129" s="178" t="e">
        <f t="shared" si="60"/>
        <v>#REF!</v>
      </c>
      <c r="M129" s="179" t="e">
        <f>'[5]10. Šport'!#REF!</f>
        <v>#REF!</v>
      </c>
      <c r="N129" s="179" t="e">
        <f>'[5]10. Šport'!#REF!</f>
        <v>#REF!</v>
      </c>
      <c r="O129" s="188" t="e">
        <f>'[5]10. Šport'!#REF!</f>
        <v>#REF!</v>
      </c>
      <c r="P129" s="241">
        <v>50000</v>
      </c>
      <c r="Q129" s="225">
        <v>50000</v>
      </c>
      <c r="R129" s="225">
        <v>0</v>
      </c>
      <c r="S129" s="226">
        <v>0</v>
      </c>
      <c r="T129" s="178" t="e">
        <f t="shared" si="61"/>
        <v>#REF!</v>
      </c>
      <c r="U129" s="179" t="e">
        <f>'[5]10. Šport'!$H$67</f>
        <v>#REF!</v>
      </c>
      <c r="V129" s="179" t="e">
        <f>'[5]10. Šport'!$I$67</f>
        <v>#REF!</v>
      </c>
      <c r="W129" s="188" t="e">
        <f>'[5]10. Šport'!$J$67</f>
        <v>#REF!</v>
      </c>
    </row>
    <row r="130" spans="2:23" s="63" customFormat="1" ht="14.25" x14ac:dyDescent="0.2">
      <c r="B130" s="154" t="s">
        <v>308</v>
      </c>
      <c r="C130" s="158"/>
      <c r="D130" s="149" t="e">
        <f t="shared" ref="D130:K130" si="62">D131+D132+D137+D138</f>
        <v>#REF!</v>
      </c>
      <c r="E130" s="150">
        <f t="shared" si="62"/>
        <v>516693.98</v>
      </c>
      <c r="F130" s="150" t="e">
        <f t="shared" si="62"/>
        <v>#REF!</v>
      </c>
      <c r="G130" s="151" t="e">
        <f t="shared" si="62"/>
        <v>#REF!</v>
      </c>
      <c r="H130" s="149" t="e">
        <f t="shared" si="62"/>
        <v>#REF!</v>
      </c>
      <c r="I130" s="150" t="e">
        <f t="shared" si="62"/>
        <v>#REF!</v>
      </c>
      <c r="J130" s="150" t="e">
        <f t="shared" si="62"/>
        <v>#REF!</v>
      </c>
      <c r="K130" s="152" t="e">
        <f t="shared" si="62"/>
        <v>#REF!</v>
      </c>
      <c r="L130" s="153" t="e">
        <f>L131+L132+L138+L137</f>
        <v>#REF!</v>
      </c>
      <c r="M130" s="150" t="e">
        <f>M131+M132+M137+M138</f>
        <v>#REF!</v>
      </c>
      <c r="N130" s="150" t="e">
        <f>N131+N132+N137+N138</f>
        <v>#REF!</v>
      </c>
      <c r="O130" s="152" t="e">
        <f>O131+O132+O137+O138</f>
        <v>#REF!</v>
      </c>
      <c r="P130" s="222">
        <v>437280.51</v>
      </c>
      <c r="Q130" s="223">
        <v>394199.44</v>
      </c>
      <c r="R130" s="223">
        <v>45000</v>
      </c>
      <c r="S130" s="227">
        <v>0</v>
      </c>
      <c r="T130" s="153" t="e">
        <f>T131+T132+T138+T137</f>
        <v>#REF!</v>
      </c>
      <c r="U130" s="150" t="e">
        <f>U131+U132+U137+U138</f>
        <v>#REF!</v>
      </c>
      <c r="V130" s="150" t="e">
        <f>V131+V132+V137+V138</f>
        <v>#REF!</v>
      </c>
      <c r="W130" s="152" t="e">
        <f>W131+W132+W137+W138</f>
        <v>#REF!</v>
      </c>
    </row>
    <row r="131" spans="2:23" ht="16.5" x14ac:dyDescent="0.3">
      <c r="B131" s="193" t="s">
        <v>309</v>
      </c>
      <c r="C131" s="189" t="s">
        <v>310</v>
      </c>
      <c r="D131" s="171" t="e">
        <f>SUM(E131:G131)</f>
        <v>#REF!</v>
      </c>
      <c r="E131" s="172">
        <v>9270</v>
      </c>
      <c r="F131" s="172" t="e">
        <f>'[5]11. Kultúra'!#REF!</f>
        <v>#REF!</v>
      </c>
      <c r="G131" s="173" t="e">
        <f>'[5]11. Kultúra'!#REF!</f>
        <v>#REF!</v>
      </c>
      <c r="H131" s="171" t="e">
        <f>SUM(I131:K131)</f>
        <v>#REF!</v>
      </c>
      <c r="I131" s="172" t="e">
        <f>'[5]11. Kultúra'!#REF!</f>
        <v>#REF!</v>
      </c>
      <c r="J131" s="172" t="e">
        <f>'[5]11. Kultúra'!#REF!</f>
        <v>#REF!</v>
      </c>
      <c r="K131" s="174" t="e">
        <f>'[5]11. Kultúra'!#REF!</f>
        <v>#REF!</v>
      </c>
      <c r="L131" s="175" t="e">
        <f>SUM(M131:O131)</f>
        <v>#REF!</v>
      </c>
      <c r="M131" s="172" t="e">
        <f>'[5]11. Kultúra'!#REF!</f>
        <v>#REF!</v>
      </c>
      <c r="N131" s="172" t="e">
        <f>'[5]11. Kultúra'!#REF!</f>
        <v>#REF!</v>
      </c>
      <c r="O131" s="174" t="e">
        <f>'[5]11. Kultúra'!#REF!</f>
        <v>#REF!</v>
      </c>
      <c r="P131" s="214">
        <v>3434.8</v>
      </c>
      <c r="Q131" s="215">
        <v>3434.8</v>
      </c>
      <c r="R131" s="215">
        <v>0</v>
      </c>
      <c r="S131" s="216">
        <v>0</v>
      </c>
      <c r="T131" s="175">
        <f>SUM(U131:W131)</f>
        <v>2940</v>
      </c>
      <c r="U131" s="172">
        <f>'[5]11. Kultúra'!$H$4</f>
        <v>2940</v>
      </c>
      <c r="V131" s="172">
        <f>'[5]11. Kultúra'!$I$4</f>
        <v>0</v>
      </c>
      <c r="W131" s="174">
        <f>'[5]11. Kultúra'!$J$4</f>
        <v>0</v>
      </c>
    </row>
    <row r="132" spans="2:23" ht="15.75" x14ac:dyDescent="0.25">
      <c r="B132" s="193" t="s">
        <v>311</v>
      </c>
      <c r="C132" s="184" t="s">
        <v>312</v>
      </c>
      <c r="D132" s="171" t="e">
        <f t="shared" ref="D132:W132" si="63">SUM(D133:D136)</f>
        <v>#REF!</v>
      </c>
      <c r="E132" s="172">
        <f t="shared" si="63"/>
        <v>474163.98</v>
      </c>
      <c r="F132" s="172" t="e">
        <f t="shared" si="63"/>
        <v>#REF!</v>
      </c>
      <c r="G132" s="173" t="e">
        <f t="shared" si="63"/>
        <v>#REF!</v>
      </c>
      <c r="H132" s="171" t="e">
        <f t="shared" si="63"/>
        <v>#REF!</v>
      </c>
      <c r="I132" s="172" t="e">
        <f t="shared" si="63"/>
        <v>#REF!</v>
      </c>
      <c r="J132" s="172" t="e">
        <f t="shared" si="63"/>
        <v>#REF!</v>
      </c>
      <c r="K132" s="174" t="e">
        <f t="shared" si="63"/>
        <v>#REF!</v>
      </c>
      <c r="L132" s="175" t="e">
        <f t="shared" si="63"/>
        <v>#REF!</v>
      </c>
      <c r="M132" s="172" t="e">
        <f t="shared" si="63"/>
        <v>#REF!</v>
      </c>
      <c r="N132" s="172" t="e">
        <f t="shared" si="63"/>
        <v>#REF!</v>
      </c>
      <c r="O132" s="174" t="e">
        <f t="shared" si="63"/>
        <v>#REF!</v>
      </c>
      <c r="P132" s="214">
        <v>430545.71</v>
      </c>
      <c r="Q132" s="215">
        <v>387464.64</v>
      </c>
      <c r="R132" s="215">
        <v>45000</v>
      </c>
      <c r="S132" s="216">
        <v>0</v>
      </c>
      <c r="T132" s="175" t="e">
        <f t="shared" si="63"/>
        <v>#REF!</v>
      </c>
      <c r="U132" s="172" t="e">
        <f t="shared" si="63"/>
        <v>#REF!</v>
      </c>
      <c r="V132" s="172" t="e">
        <f t="shared" si="63"/>
        <v>#REF!</v>
      </c>
      <c r="W132" s="174" t="e">
        <f t="shared" si="63"/>
        <v>#REF!</v>
      </c>
    </row>
    <row r="133" spans="2:23" ht="15.75" x14ac:dyDescent="0.25">
      <c r="B133" s="70">
        <v>1</v>
      </c>
      <c r="C133" s="84" t="s">
        <v>313</v>
      </c>
      <c r="D133" s="72" t="e">
        <f t="shared" ref="D133:D138" si="64">SUM(E133:G133)</f>
        <v>#REF!</v>
      </c>
      <c r="E133" s="73">
        <v>107434.49</v>
      </c>
      <c r="F133" s="73">
        <v>276258</v>
      </c>
      <c r="G133" s="74" t="e">
        <f>'[5]11. Kultúra'!#REF!</f>
        <v>#REF!</v>
      </c>
      <c r="H133" s="72" t="e">
        <f t="shared" ref="H133:H138" si="65">SUM(I133:K133)</f>
        <v>#REF!</v>
      </c>
      <c r="I133" s="73" t="e">
        <f>'[5]11. Kultúra'!#REF!</f>
        <v>#REF!</v>
      </c>
      <c r="J133" s="73" t="e">
        <f>'[5]11. Kultúra'!#REF!</f>
        <v>#REF!</v>
      </c>
      <c r="K133" s="75" t="e">
        <f>'[5]11. Kultúra'!#REF!</f>
        <v>#REF!</v>
      </c>
      <c r="L133" s="76" t="e">
        <f t="shared" ref="L133:L138" si="66">SUM(M133:O133)</f>
        <v>#REF!</v>
      </c>
      <c r="M133" s="73" t="e">
        <f>'[5]11. Kultúra'!#REF!</f>
        <v>#REF!</v>
      </c>
      <c r="N133" s="73" t="e">
        <f>'[5]11. Kultúra'!#REF!</f>
        <v>#REF!</v>
      </c>
      <c r="O133" s="75" t="e">
        <f>'[5]11. Kultúra'!#REF!</f>
        <v>#REF!</v>
      </c>
      <c r="P133" s="214">
        <v>100378.95</v>
      </c>
      <c r="Q133" s="217">
        <v>100378.95</v>
      </c>
      <c r="R133" s="217">
        <v>0</v>
      </c>
      <c r="S133" s="218">
        <v>0</v>
      </c>
      <c r="T133" s="76">
        <f t="shared" ref="T133:T138" si="67">SUM(U133:W133)</f>
        <v>109400</v>
      </c>
      <c r="U133" s="73">
        <f>'[5]11. Kultúra'!$H$24</f>
        <v>109400</v>
      </c>
      <c r="V133" s="73">
        <f>'[5]11. Kultúra'!$I$24</f>
        <v>0</v>
      </c>
      <c r="W133" s="75">
        <f>'[5]11. Kultúra'!$J$24</f>
        <v>0</v>
      </c>
    </row>
    <row r="134" spans="2:23" ht="15.75" x14ac:dyDescent="0.25">
      <c r="B134" s="70">
        <v>2</v>
      </c>
      <c r="C134" s="84" t="s">
        <v>314</v>
      </c>
      <c r="D134" s="72" t="e">
        <f t="shared" si="64"/>
        <v>#REF!</v>
      </c>
      <c r="E134" s="73">
        <v>2724</v>
      </c>
      <c r="F134" s="73" t="e">
        <f>'[5]11. Kultúra'!#REF!</f>
        <v>#REF!</v>
      </c>
      <c r="G134" s="74" t="e">
        <f>'[5]11. Kultúra'!#REF!</f>
        <v>#REF!</v>
      </c>
      <c r="H134" s="72" t="e">
        <f t="shared" si="65"/>
        <v>#REF!</v>
      </c>
      <c r="I134" s="73" t="e">
        <f>'[5]11. Kultúra'!#REF!</f>
        <v>#REF!</v>
      </c>
      <c r="J134" s="73" t="e">
        <f>'[5]11. Kultúra'!#REF!</f>
        <v>#REF!</v>
      </c>
      <c r="K134" s="75" t="e">
        <f>'[5]11. Kultúra'!#REF!</f>
        <v>#REF!</v>
      </c>
      <c r="L134" s="76" t="e">
        <f t="shared" si="66"/>
        <v>#REF!</v>
      </c>
      <c r="M134" s="73" t="e">
        <f>'[5]11. Kultúra'!#REF!</f>
        <v>#REF!</v>
      </c>
      <c r="N134" s="73" t="e">
        <f>'[5]11. Kultúra'!#REF!</f>
        <v>#REF!</v>
      </c>
      <c r="O134" s="75" t="e">
        <f>'[5]11. Kultúra'!#REF!</f>
        <v>#REF!</v>
      </c>
      <c r="P134" s="214">
        <v>2714.41</v>
      </c>
      <c r="Q134" s="217">
        <v>2714.41</v>
      </c>
      <c r="R134" s="217">
        <v>0</v>
      </c>
      <c r="S134" s="218">
        <v>0</v>
      </c>
      <c r="T134" s="76">
        <f t="shared" si="67"/>
        <v>2355</v>
      </c>
      <c r="U134" s="73">
        <f>'[5]11. Kultúra'!$H$30</f>
        <v>2355</v>
      </c>
      <c r="V134" s="73">
        <f>'[5]11. Kultúra'!$I$30</f>
        <v>0</v>
      </c>
      <c r="W134" s="75">
        <f>'[5]11. Kultúra'!$J$30</f>
        <v>0</v>
      </c>
    </row>
    <row r="135" spans="2:23" ht="15.75" x14ac:dyDescent="0.25">
      <c r="B135" s="70">
        <v>3</v>
      </c>
      <c r="C135" s="84" t="s">
        <v>315</v>
      </c>
      <c r="D135" s="72" t="e">
        <f t="shared" si="64"/>
        <v>#REF!</v>
      </c>
      <c r="E135" s="73">
        <v>347901.49</v>
      </c>
      <c r="F135" s="73">
        <v>80073</v>
      </c>
      <c r="G135" s="74" t="e">
        <f>'[5]11. Kultúra'!#REF!</f>
        <v>#REF!</v>
      </c>
      <c r="H135" s="72" t="e">
        <f t="shared" si="65"/>
        <v>#REF!</v>
      </c>
      <c r="I135" s="73" t="e">
        <f>'[5]11. Kultúra'!#REF!</f>
        <v>#REF!</v>
      </c>
      <c r="J135" s="73" t="e">
        <f>'[5]11. Kultúra'!#REF!</f>
        <v>#REF!</v>
      </c>
      <c r="K135" s="75" t="e">
        <f>'[5]11. Kultúra'!#REF!</f>
        <v>#REF!</v>
      </c>
      <c r="L135" s="76" t="e">
        <f t="shared" si="66"/>
        <v>#REF!</v>
      </c>
      <c r="M135" s="73" t="e">
        <f>'[5]11. Kultúra'!#REF!</f>
        <v>#REF!</v>
      </c>
      <c r="N135" s="73" t="e">
        <f>'[5]11. Kultúra'!#REF!</f>
        <v>#REF!</v>
      </c>
      <c r="O135" s="75" t="e">
        <f>'[5]11. Kultúra'!#REF!</f>
        <v>#REF!</v>
      </c>
      <c r="P135" s="214">
        <v>317027.34999999998</v>
      </c>
      <c r="Q135" s="217">
        <v>273946.28000000003</v>
      </c>
      <c r="R135" s="217">
        <v>45000</v>
      </c>
      <c r="S135" s="218">
        <v>0</v>
      </c>
      <c r="T135" s="76">
        <f t="shared" si="67"/>
        <v>371273</v>
      </c>
      <c r="U135" s="73">
        <f>'[5]11. Kultúra'!$H$43</f>
        <v>306185</v>
      </c>
      <c r="V135" s="73">
        <f>'[5]11. Kultúra'!$I$43</f>
        <v>65088</v>
      </c>
      <c r="W135" s="75">
        <f>'[5]11. Kultúra'!$J$43</f>
        <v>0</v>
      </c>
    </row>
    <row r="136" spans="2:23" ht="15.75" x14ac:dyDescent="0.25">
      <c r="B136" s="70">
        <v>4</v>
      </c>
      <c r="C136" s="84" t="s">
        <v>316</v>
      </c>
      <c r="D136" s="72" t="e">
        <f t="shared" si="64"/>
        <v>#REF!</v>
      </c>
      <c r="E136" s="73">
        <v>16104</v>
      </c>
      <c r="F136" s="73" t="e">
        <f>'[5]11. Kultúra'!#REF!</f>
        <v>#REF!</v>
      </c>
      <c r="G136" s="74" t="e">
        <f>'[5]11. Kultúra'!#REF!</f>
        <v>#REF!</v>
      </c>
      <c r="H136" s="72" t="e">
        <f t="shared" si="65"/>
        <v>#REF!</v>
      </c>
      <c r="I136" s="73" t="e">
        <f>'[5]11. Kultúra'!#REF!</f>
        <v>#REF!</v>
      </c>
      <c r="J136" s="73" t="e">
        <f>'[5]11. Kultúra'!#REF!</f>
        <v>#REF!</v>
      </c>
      <c r="K136" s="75" t="e">
        <f>'[5]11. Kultúra'!#REF!</f>
        <v>#REF!</v>
      </c>
      <c r="L136" s="76" t="e">
        <f t="shared" si="66"/>
        <v>#REF!</v>
      </c>
      <c r="M136" s="73">
        <v>19300</v>
      </c>
      <c r="N136" s="73" t="e">
        <f>'[5]11. Kultúra'!#REF!</f>
        <v>#REF!</v>
      </c>
      <c r="O136" s="75" t="e">
        <f>'[5]11. Kultúra'!#REF!</f>
        <v>#REF!</v>
      </c>
      <c r="P136" s="214">
        <v>10425</v>
      </c>
      <c r="Q136" s="217">
        <v>10425</v>
      </c>
      <c r="R136" s="217">
        <v>0</v>
      </c>
      <c r="S136" s="218">
        <v>0</v>
      </c>
      <c r="T136" s="76" t="e">
        <f t="shared" si="67"/>
        <v>#REF!</v>
      </c>
      <c r="U136" s="73" t="e">
        <f>'[5]11. Kultúra'!$H$141</f>
        <v>#REF!</v>
      </c>
      <c r="V136" s="73" t="e">
        <f>'[5]11. Kultúra'!$I$140</f>
        <v>#REF!</v>
      </c>
      <c r="W136" s="75" t="e">
        <f>'[5]11. Kultúra'!$J$140</f>
        <v>#REF!</v>
      </c>
    </row>
    <row r="137" spans="2:23" ht="15.75" x14ac:dyDescent="0.25">
      <c r="B137" s="193" t="s">
        <v>317</v>
      </c>
      <c r="C137" s="184" t="s">
        <v>318</v>
      </c>
      <c r="D137" s="171" t="e">
        <f t="shared" si="64"/>
        <v>#REF!</v>
      </c>
      <c r="E137" s="172">
        <v>31250</v>
      </c>
      <c r="F137" s="172">
        <v>0</v>
      </c>
      <c r="G137" s="173" t="e">
        <f>'[5]11. Kultúra'!#REF!</f>
        <v>#REF!</v>
      </c>
      <c r="H137" s="171" t="e">
        <f t="shared" si="65"/>
        <v>#REF!</v>
      </c>
      <c r="I137" s="172" t="e">
        <f>'[5]11. Kultúra'!#REF!</f>
        <v>#REF!</v>
      </c>
      <c r="J137" s="172" t="e">
        <f>'[5]11. Kultúra'!#REF!</f>
        <v>#REF!</v>
      </c>
      <c r="K137" s="174" t="e">
        <f>'[5]11. Kultúra'!#REF!</f>
        <v>#REF!</v>
      </c>
      <c r="L137" s="175" t="e">
        <f t="shared" si="66"/>
        <v>#REF!</v>
      </c>
      <c r="M137" s="172">
        <v>3300</v>
      </c>
      <c r="N137" s="172" t="e">
        <f>'[5]11. Kultúra'!#REF!</f>
        <v>#REF!</v>
      </c>
      <c r="O137" s="174" t="e">
        <f>'[5]11. Kultúra'!#REF!</f>
        <v>#REF!</v>
      </c>
      <c r="P137" s="214">
        <v>3300</v>
      </c>
      <c r="Q137" s="215">
        <v>3300</v>
      </c>
      <c r="R137" s="215">
        <v>0</v>
      </c>
      <c r="S137" s="216">
        <v>0</v>
      </c>
      <c r="T137" s="175" t="e">
        <f t="shared" si="67"/>
        <v>#REF!</v>
      </c>
      <c r="U137" s="172">
        <f>'[5]11. Kultúra'!$H$156</f>
        <v>300</v>
      </c>
      <c r="V137" s="172" t="e">
        <f>'[5]11. Kultúra'!$I$156</f>
        <v>#REF!</v>
      </c>
      <c r="W137" s="174" t="e">
        <f>'[5]11. Kultúra'!$J$156</f>
        <v>#REF!</v>
      </c>
    </row>
    <row r="138" spans="2:23" ht="16.5" thickBot="1" x14ac:dyDescent="0.3">
      <c r="B138" s="190" t="s">
        <v>319</v>
      </c>
      <c r="C138" s="185" t="s">
        <v>320</v>
      </c>
      <c r="D138" s="178" t="e">
        <f t="shared" si="64"/>
        <v>#REF!</v>
      </c>
      <c r="E138" s="179">
        <v>2010</v>
      </c>
      <c r="F138" s="179" t="e">
        <f>'[5]11. Kultúra'!#REF!</f>
        <v>#REF!</v>
      </c>
      <c r="G138" s="201" t="e">
        <f>'[5]11. Kultúra'!#REF!</f>
        <v>#REF!</v>
      </c>
      <c r="H138" s="202" t="e">
        <f t="shared" si="65"/>
        <v>#REF!</v>
      </c>
      <c r="I138" s="203" t="e">
        <f>'[5]11. Kultúra'!#REF!</f>
        <v>#REF!</v>
      </c>
      <c r="J138" s="203" t="e">
        <f>'[5]11. Kultúra'!#REF!</f>
        <v>#REF!</v>
      </c>
      <c r="K138" s="204" t="e">
        <f>'[5]11. Kultúra'!#REF!</f>
        <v>#REF!</v>
      </c>
      <c r="L138" s="187" t="e">
        <f t="shared" si="66"/>
        <v>#REF!</v>
      </c>
      <c r="M138" s="179">
        <v>0</v>
      </c>
      <c r="N138" s="179" t="e">
        <f>'[5]11. Kultúra'!#REF!</f>
        <v>#REF!</v>
      </c>
      <c r="O138" s="205" t="e">
        <f>'[5]11. Kultúra'!#REF!</f>
        <v>#REF!</v>
      </c>
      <c r="P138" s="224">
        <v>0</v>
      </c>
      <c r="Q138" s="225">
        <v>0</v>
      </c>
      <c r="R138" s="225">
        <v>0</v>
      </c>
      <c r="S138" s="242">
        <v>0</v>
      </c>
      <c r="T138" s="187" t="e">
        <f t="shared" si="67"/>
        <v>#REF!</v>
      </c>
      <c r="U138" s="179" t="e">
        <f>'[5]11. Kultúra'!$H$160</f>
        <v>#REF!</v>
      </c>
      <c r="V138" s="179" t="e">
        <f>'[5]11. Kultúra'!$I$160</f>
        <v>#REF!</v>
      </c>
      <c r="W138" s="205" t="e">
        <f>'[5]11. Kultúra'!$J$160</f>
        <v>#REF!</v>
      </c>
    </row>
    <row r="139" spans="2:23" s="63" customFormat="1" ht="14.25" x14ac:dyDescent="0.2">
      <c r="B139" s="154" t="s">
        <v>321</v>
      </c>
      <c r="C139" s="158"/>
      <c r="D139" s="149" t="e">
        <f t="shared" ref="D139:W139" si="68">D140+D145+D146+D147+D148+D149+D150</f>
        <v>#REF!</v>
      </c>
      <c r="E139" s="150" t="e">
        <f t="shared" si="68"/>
        <v>#REF!</v>
      </c>
      <c r="F139" s="150" t="e">
        <f t="shared" si="68"/>
        <v>#REF!</v>
      </c>
      <c r="G139" s="151" t="e">
        <f t="shared" si="68"/>
        <v>#REF!</v>
      </c>
      <c r="H139" s="149">
        <f t="shared" si="68"/>
        <v>246839.97999999998</v>
      </c>
      <c r="I139" s="150">
        <f t="shared" si="68"/>
        <v>225512.97999999998</v>
      </c>
      <c r="J139" s="150">
        <f t="shared" si="68"/>
        <v>21327</v>
      </c>
      <c r="K139" s="152">
        <f t="shared" si="68"/>
        <v>0</v>
      </c>
      <c r="L139" s="153" t="e">
        <f t="shared" si="68"/>
        <v>#REF!</v>
      </c>
      <c r="M139" s="150" t="e">
        <f t="shared" si="68"/>
        <v>#REF!</v>
      </c>
      <c r="N139" s="150" t="e">
        <f t="shared" si="68"/>
        <v>#REF!</v>
      </c>
      <c r="O139" s="152" t="e">
        <f t="shared" si="68"/>
        <v>#REF!</v>
      </c>
      <c r="P139" s="222">
        <v>131301.29999999999</v>
      </c>
      <c r="Q139" s="223">
        <v>131151.29999999999</v>
      </c>
      <c r="R139" s="223">
        <v>150</v>
      </c>
      <c r="S139" s="227">
        <v>0</v>
      </c>
      <c r="T139" s="153">
        <f t="shared" si="68"/>
        <v>2267061</v>
      </c>
      <c r="U139" s="150">
        <f t="shared" si="68"/>
        <v>330282</v>
      </c>
      <c r="V139" s="150">
        <f t="shared" si="68"/>
        <v>1936779</v>
      </c>
      <c r="W139" s="152">
        <f t="shared" si="68"/>
        <v>0</v>
      </c>
    </row>
    <row r="140" spans="2:23" ht="15.75" x14ac:dyDescent="0.25">
      <c r="B140" s="193" t="s">
        <v>322</v>
      </c>
      <c r="C140" s="184" t="s">
        <v>323</v>
      </c>
      <c r="D140" s="171" t="e">
        <f t="shared" ref="D140:W140" si="69">SUM(D141:D144)</f>
        <v>#REF!</v>
      </c>
      <c r="E140" s="172" t="e">
        <f t="shared" si="69"/>
        <v>#REF!</v>
      </c>
      <c r="F140" s="172" t="e">
        <f t="shared" si="69"/>
        <v>#REF!</v>
      </c>
      <c r="G140" s="173" t="e">
        <f t="shared" si="69"/>
        <v>#REF!</v>
      </c>
      <c r="H140" s="171">
        <f t="shared" si="69"/>
        <v>219161.49</v>
      </c>
      <c r="I140" s="172">
        <f t="shared" si="69"/>
        <v>197834.49</v>
      </c>
      <c r="J140" s="172">
        <f t="shared" si="69"/>
        <v>21327</v>
      </c>
      <c r="K140" s="174">
        <f t="shared" si="69"/>
        <v>0</v>
      </c>
      <c r="L140" s="175" t="e">
        <f t="shared" si="69"/>
        <v>#REF!</v>
      </c>
      <c r="M140" s="172" t="e">
        <f t="shared" si="69"/>
        <v>#REF!</v>
      </c>
      <c r="N140" s="172" t="e">
        <f t="shared" si="69"/>
        <v>#REF!</v>
      </c>
      <c r="O140" s="174" t="e">
        <f t="shared" si="69"/>
        <v>#REF!</v>
      </c>
      <c r="P140" s="214">
        <v>98209.15</v>
      </c>
      <c r="Q140" s="215">
        <v>98059.15</v>
      </c>
      <c r="R140" s="215">
        <v>150</v>
      </c>
      <c r="S140" s="216">
        <v>0</v>
      </c>
      <c r="T140" s="175">
        <f t="shared" si="69"/>
        <v>2194431</v>
      </c>
      <c r="U140" s="172">
        <f t="shared" si="69"/>
        <v>273132</v>
      </c>
      <c r="V140" s="172">
        <f t="shared" si="69"/>
        <v>1921299</v>
      </c>
      <c r="W140" s="174">
        <f t="shared" si="69"/>
        <v>0</v>
      </c>
    </row>
    <row r="141" spans="2:23" ht="15.75" x14ac:dyDescent="0.25">
      <c r="B141" s="70">
        <v>1</v>
      </c>
      <c r="C141" s="84" t="s">
        <v>324</v>
      </c>
      <c r="D141" s="72" t="e">
        <f t="shared" ref="D141:D150" si="70">SUM(E141:G141)</f>
        <v>#REF!</v>
      </c>
      <c r="E141" s="73">
        <v>180311.49</v>
      </c>
      <c r="F141" s="73" t="e">
        <f>'[5]12. Prostredie pre život'!#REF!</f>
        <v>#REF!</v>
      </c>
      <c r="G141" s="74" t="e">
        <f>'[5]12. Prostredie pre život'!#REF!</f>
        <v>#REF!</v>
      </c>
      <c r="H141" s="72">
        <f t="shared" ref="H141:H150" si="71">SUM(I141:K141)</f>
        <v>194848.49</v>
      </c>
      <c r="I141" s="73">
        <v>194848.49</v>
      </c>
      <c r="J141" s="73">
        <v>0</v>
      </c>
      <c r="K141" s="75">
        <v>0</v>
      </c>
      <c r="L141" s="76" t="e">
        <f t="shared" ref="L141:L150" si="72">SUM(M141:O141)</f>
        <v>#REF!</v>
      </c>
      <c r="M141" s="73" t="e">
        <f>'[5]12. Prostredie pre život'!#REF!</f>
        <v>#REF!</v>
      </c>
      <c r="N141" s="73" t="e">
        <f>'[5]12. Prostredie pre život'!#REF!</f>
        <v>#REF!</v>
      </c>
      <c r="O141" s="75" t="e">
        <f>'[5]12. Prostredie pre život'!#REF!</f>
        <v>#REF!</v>
      </c>
      <c r="P141" s="214">
        <v>94458.92</v>
      </c>
      <c r="Q141" s="217">
        <v>94458.92</v>
      </c>
      <c r="R141" s="217">
        <v>0</v>
      </c>
      <c r="S141" s="218">
        <v>0</v>
      </c>
      <c r="T141" s="76">
        <f t="shared" ref="T141:T150" si="73">SUM(U141:W141)</f>
        <v>117930</v>
      </c>
      <c r="U141" s="73">
        <f>'[5]12. Prostredie pre život'!$H$5</f>
        <v>117930</v>
      </c>
      <c r="V141" s="73">
        <f>'[5]12. Prostredie pre život'!$I$5</f>
        <v>0</v>
      </c>
      <c r="W141" s="75">
        <f>'[5]12. Prostredie pre život'!$J$5</f>
        <v>0</v>
      </c>
    </row>
    <row r="142" spans="2:23" ht="15.75" x14ac:dyDescent="0.25">
      <c r="B142" s="70">
        <v>2</v>
      </c>
      <c r="C142" s="84" t="s">
        <v>325</v>
      </c>
      <c r="D142" s="72" t="e">
        <f t="shared" si="70"/>
        <v>#REF!</v>
      </c>
      <c r="E142" s="73" t="e">
        <f>'[5]12. Prostredie pre život'!#REF!</f>
        <v>#REF!</v>
      </c>
      <c r="F142" s="73" t="e">
        <f>'[5]12. Prostredie pre život'!#REF!</f>
        <v>#REF!</v>
      </c>
      <c r="G142" s="74" t="e">
        <f>'[5]12. Prostredie pre život'!#REF!</f>
        <v>#REF!</v>
      </c>
      <c r="H142" s="72">
        <f t="shared" si="71"/>
        <v>0</v>
      </c>
      <c r="I142" s="73">
        <v>0</v>
      </c>
      <c r="J142" s="73">
        <v>0</v>
      </c>
      <c r="K142" s="75">
        <v>0</v>
      </c>
      <c r="L142" s="76" t="e">
        <f t="shared" si="72"/>
        <v>#REF!</v>
      </c>
      <c r="M142" s="73" t="e">
        <f>'[5]12. Prostredie pre život'!#REF!</f>
        <v>#REF!</v>
      </c>
      <c r="N142" s="73" t="e">
        <f>'[5]12. Prostredie pre život'!#REF!</f>
        <v>#REF!</v>
      </c>
      <c r="O142" s="75" t="e">
        <f>'[5]12. Prostredie pre život'!#REF!</f>
        <v>#REF!</v>
      </c>
      <c r="P142" s="214">
        <v>0</v>
      </c>
      <c r="Q142" s="217">
        <v>0</v>
      </c>
      <c r="R142" s="217">
        <v>0</v>
      </c>
      <c r="S142" s="218">
        <v>0</v>
      </c>
      <c r="T142" s="76">
        <f t="shared" si="73"/>
        <v>450</v>
      </c>
      <c r="U142" s="73">
        <f>'[5]12. Prostredie pre život'!$H$19</f>
        <v>450</v>
      </c>
      <c r="V142" s="73">
        <f>'[5]12. Prostredie pre život'!$I$19</f>
        <v>0</v>
      </c>
      <c r="W142" s="75">
        <f>'[5]12. Prostredie pre život'!$J$19</f>
        <v>0</v>
      </c>
    </row>
    <row r="143" spans="2:23" ht="15.75" x14ac:dyDescent="0.25">
      <c r="B143" s="70">
        <v>3</v>
      </c>
      <c r="C143" s="84" t="s">
        <v>326</v>
      </c>
      <c r="D143" s="72" t="e">
        <f t="shared" si="70"/>
        <v>#REF!</v>
      </c>
      <c r="E143" s="73">
        <v>0</v>
      </c>
      <c r="F143" s="73">
        <v>0</v>
      </c>
      <c r="G143" s="74" t="e">
        <f>'[5]12. Prostredie pre život'!#REF!</f>
        <v>#REF!</v>
      </c>
      <c r="H143" s="72">
        <f t="shared" si="71"/>
        <v>23127</v>
      </c>
      <c r="I143" s="73">
        <v>1800</v>
      </c>
      <c r="J143" s="73">
        <v>21327</v>
      </c>
      <c r="K143" s="75">
        <v>0</v>
      </c>
      <c r="L143" s="76" t="e">
        <f t="shared" si="72"/>
        <v>#REF!</v>
      </c>
      <c r="M143" s="73">
        <v>257173</v>
      </c>
      <c r="N143" s="73" t="e">
        <f>'[5]12. Prostredie pre život'!#REF!</f>
        <v>#REF!</v>
      </c>
      <c r="O143" s="75" t="e">
        <f>'[5]12. Prostredie pre život'!#REF!</f>
        <v>#REF!</v>
      </c>
      <c r="P143" s="214">
        <v>934.03</v>
      </c>
      <c r="Q143" s="217">
        <v>784.03</v>
      </c>
      <c r="R143" s="217">
        <v>150</v>
      </c>
      <c r="S143" s="218">
        <v>0</v>
      </c>
      <c r="T143" s="76">
        <f t="shared" si="73"/>
        <v>2073201</v>
      </c>
      <c r="U143" s="73">
        <f>'[5]12. Prostredie pre život'!$H$21</f>
        <v>151902</v>
      </c>
      <c r="V143" s="73">
        <f>'[5]12. Prostredie pre život'!$I$21</f>
        <v>1921299</v>
      </c>
      <c r="W143" s="75">
        <f>'[5]12. Prostredie pre život'!$J$21</f>
        <v>0</v>
      </c>
    </row>
    <row r="144" spans="2:23" ht="15.75" x14ac:dyDescent="0.25">
      <c r="B144" s="70">
        <v>4</v>
      </c>
      <c r="C144" s="84" t="s">
        <v>327</v>
      </c>
      <c r="D144" s="72" t="e">
        <f t="shared" si="70"/>
        <v>#REF!</v>
      </c>
      <c r="E144" s="73">
        <v>352</v>
      </c>
      <c r="F144" s="73" t="e">
        <f>'[5]12. Prostredie pre život'!#REF!</f>
        <v>#REF!</v>
      </c>
      <c r="G144" s="74" t="e">
        <f>'[5]12. Prostredie pre život'!#REF!</f>
        <v>#REF!</v>
      </c>
      <c r="H144" s="72">
        <f t="shared" si="71"/>
        <v>1186</v>
      </c>
      <c r="I144" s="73">
        <v>1186</v>
      </c>
      <c r="J144" s="73">
        <v>0</v>
      </c>
      <c r="K144" s="75">
        <v>0</v>
      </c>
      <c r="L144" s="76" t="e">
        <f t="shared" si="72"/>
        <v>#REF!</v>
      </c>
      <c r="M144" s="73" t="e">
        <f>'[5]12. Prostredie pre život'!#REF!</f>
        <v>#REF!</v>
      </c>
      <c r="N144" s="73" t="e">
        <f>'[5]12. Prostredie pre život'!#REF!</f>
        <v>#REF!</v>
      </c>
      <c r="O144" s="75" t="e">
        <f>'[5]12. Prostredie pre život'!#REF!</f>
        <v>#REF!</v>
      </c>
      <c r="P144" s="214">
        <v>2816.2</v>
      </c>
      <c r="Q144" s="217">
        <v>2816.2</v>
      </c>
      <c r="R144" s="217">
        <v>0</v>
      </c>
      <c r="S144" s="218">
        <v>0</v>
      </c>
      <c r="T144" s="76">
        <f t="shared" si="73"/>
        <v>2850</v>
      </c>
      <c r="U144" s="73">
        <f>'[5]12. Prostredie pre život'!$H$39</f>
        <v>2850</v>
      </c>
      <c r="V144" s="73">
        <f>'[5]12. Prostredie pre život'!$I$39</f>
        <v>0</v>
      </c>
      <c r="W144" s="75">
        <f>'[5]12. Prostredie pre život'!$J$39</f>
        <v>0</v>
      </c>
    </row>
    <row r="145" spans="1:23" ht="16.5" x14ac:dyDescent="0.3">
      <c r="B145" s="193" t="s">
        <v>328</v>
      </c>
      <c r="C145" s="189" t="s">
        <v>329</v>
      </c>
      <c r="D145" s="171" t="e">
        <f t="shared" si="70"/>
        <v>#REF!</v>
      </c>
      <c r="E145" s="172">
        <v>3182</v>
      </c>
      <c r="F145" s="172" t="e">
        <f>'[5]12. Prostredie pre život'!#REF!</f>
        <v>#REF!</v>
      </c>
      <c r="G145" s="173" t="e">
        <f>'[5]12. Prostredie pre život'!#REF!</f>
        <v>#REF!</v>
      </c>
      <c r="H145" s="171">
        <f t="shared" si="71"/>
        <v>0</v>
      </c>
      <c r="I145" s="172">
        <v>0</v>
      </c>
      <c r="J145" s="172">
        <v>0</v>
      </c>
      <c r="K145" s="174">
        <v>0</v>
      </c>
      <c r="L145" s="175" t="e">
        <f t="shared" si="72"/>
        <v>#REF!</v>
      </c>
      <c r="M145" s="172" t="e">
        <f>'[5]12. Prostredie pre život'!#REF!</f>
        <v>#REF!</v>
      </c>
      <c r="N145" s="172" t="e">
        <f>'[5]12. Prostredie pre život'!#REF!</f>
        <v>#REF!</v>
      </c>
      <c r="O145" s="174" t="e">
        <f>'[5]12. Prostredie pre život'!#REF!</f>
        <v>#REF!</v>
      </c>
      <c r="P145" s="214">
        <v>0</v>
      </c>
      <c r="Q145" s="215">
        <v>0</v>
      </c>
      <c r="R145" s="215">
        <v>0</v>
      </c>
      <c r="S145" s="216">
        <v>0</v>
      </c>
      <c r="T145" s="175">
        <f t="shared" si="73"/>
        <v>1825</v>
      </c>
      <c r="U145" s="172">
        <f>'[5]12. Prostredie pre život'!$H$45</f>
        <v>1825</v>
      </c>
      <c r="V145" s="172">
        <f>'[5]12. Prostredie pre život'!$I$45</f>
        <v>0</v>
      </c>
      <c r="W145" s="174">
        <f>'[5]12. Prostredie pre život'!$J$45</f>
        <v>0</v>
      </c>
    </row>
    <row r="146" spans="1:23" ht="16.5" x14ac:dyDescent="0.3">
      <c r="A146" s="85"/>
      <c r="B146" s="206" t="s">
        <v>330</v>
      </c>
      <c r="C146" s="189" t="s">
        <v>331</v>
      </c>
      <c r="D146" s="171" t="e">
        <f t="shared" si="70"/>
        <v>#REF!</v>
      </c>
      <c r="E146" s="172">
        <v>3711</v>
      </c>
      <c r="F146" s="172" t="e">
        <f>'[5]12. Prostredie pre život'!#REF!</f>
        <v>#REF!</v>
      </c>
      <c r="G146" s="173" t="e">
        <f>'[5]12. Prostredie pre život'!#REF!</f>
        <v>#REF!</v>
      </c>
      <c r="H146" s="171">
        <f t="shared" si="71"/>
        <v>1180</v>
      </c>
      <c r="I146" s="172">
        <v>1180</v>
      </c>
      <c r="J146" s="172">
        <v>0</v>
      </c>
      <c r="K146" s="174">
        <v>0</v>
      </c>
      <c r="L146" s="175" t="e">
        <f t="shared" si="72"/>
        <v>#REF!</v>
      </c>
      <c r="M146" s="172" t="e">
        <f>'[5]12. Prostredie pre život'!#REF!</f>
        <v>#REF!</v>
      </c>
      <c r="N146" s="172" t="e">
        <f>'[5]12. Prostredie pre život'!#REF!</f>
        <v>#REF!</v>
      </c>
      <c r="O146" s="174" t="e">
        <f>'[5]12. Prostredie pre život'!#REF!</f>
        <v>#REF!</v>
      </c>
      <c r="P146" s="214">
        <v>4522.07</v>
      </c>
      <c r="Q146" s="215">
        <v>4522.07</v>
      </c>
      <c r="R146" s="215">
        <v>0</v>
      </c>
      <c r="S146" s="216">
        <v>0</v>
      </c>
      <c r="T146" s="175">
        <f t="shared" si="73"/>
        <v>13840</v>
      </c>
      <c r="U146" s="172">
        <f>'[5]12. Prostredie pre život'!$H$48</f>
        <v>6840</v>
      </c>
      <c r="V146" s="172">
        <f>'[5]12. Prostredie pre život'!$I$48</f>
        <v>7000</v>
      </c>
      <c r="W146" s="174">
        <f>'[5]12. Prostredie pre život'!$J$48</f>
        <v>0</v>
      </c>
    </row>
    <row r="147" spans="1:23" ht="16.5" x14ac:dyDescent="0.3">
      <c r="A147" s="85"/>
      <c r="B147" s="206" t="s">
        <v>332</v>
      </c>
      <c r="C147" s="189" t="s">
        <v>333</v>
      </c>
      <c r="D147" s="171" t="e">
        <f t="shared" si="70"/>
        <v>#REF!</v>
      </c>
      <c r="E147" s="172">
        <v>164</v>
      </c>
      <c r="F147" s="172" t="e">
        <f>'[5]12. Prostredie pre život'!#REF!</f>
        <v>#REF!</v>
      </c>
      <c r="G147" s="173" t="e">
        <f>'[5]12. Prostredie pre život'!#REF!</f>
        <v>#REF!</v>
      </c>
      <c r="H147" s="171">
        <f t="shared" si="71"/>
        <v>248</v>
      </c>
      <c r="I147" s="172">
        <v>248</v>
      </c>
      <c r="J147" s="172">
        <v>0</v>
      </c>
      <c r="K147" s="174">
        <v>0</v>
      </c>
      <c r="L147" s="175" t="e">
        <f t="shared" si="72"/>
        <v>#REF!</v>
      </c>
      <c r="M147" s="172" t="e">
        <f>'[5]12. Prostredie pre život'!#REF!</f>
        <v>#REF!</v>
      </c>
      <c r="N147" s="172" t="e">
        <f>'[5]12. Prostredie pre život'!#REF!</f>
        <v>#REF!</v>
      </c>
      <c r="O147" s="174" t="e">
        <f>'[5]12. Prostredie pre život'!#REF!</f>
        <v>#REF!</v>
      </c>
      <c r="P147" s="214">
        <v>77.87</v>
      </c>
      <c r="Q147" s="215">
        <v>77.87</v>
      </c>
      <c r="R147" s="215">
        <v>0</v>
      </c>
      <c r="S147" s="216">
        <v>0</v>
      </c>
      <c r="T147" s="175">
        <f t="shared" si="73"/>
        <v>75</v>
      </c>
      <c r="U147" s="172">
        <f>'[5]12. Prostredie pre život'!$H$60</f>
        <v>75</v>
      </c>
      <c r="V147" s="172">
        <f>'[5]12. Prostredie pre život'!$I$60</f>
        <v>0</v>
      </c>
      <c r="W147" s="174">
        <f>'[5]12. Prostredie pre život'!$J$60</f>
        <v>0</v>
      </c>
    </row>
    <row r="148" spans="1:23" ht="16.5" x14ac:dyDescent="0.3">
      <c r="A148" s="85"/>
      <c r="B148" s="206" t="s">
        <v>334</v>
      </c>
      <c r="C148" s="189" t="s">
        <v>335</v>
      </c>
      <c r="D148" s="171" t="e">
        <f t="shared" si="70"/>
        <v>#REF!</v>
      </c>
      <c r="E148" s="172">
        <v>20655</v>
      </c>
      <c r="F148" s="172" t="e">
        <f>'[5]12. Prostredie pre život'!#REF!</f>
        <v>#REF!</v>
      </c>
      <c r="G148" s="173" t="e">
        <f>'[5]12. Prostredie pre život'!#REF!</f>
        <v>#REF!</v>
      </c>
      <c r="H148" s="171">
        <f t="shared" si="71"/>
        <v>15798</v>
      </c>
      <c r="I148" s="172">
        <v>15798</v>
      </c>
      <c r="J148" s="172">
        <v>0</v>
      </c>
      <c r="K148" s="174">
        <v>0</v>
      </c>
      <c r="L148" s="175" t="e">
        <f t="shared" si="72"/>
        <v>#REF!</v>
      </c>
      <c r="M148" s="172" t="e">
        <f>'[5]12. Prostredie pre život'!#REF!</f>
        <v>#REF!</v>
      </c>
      <c r="N148" s="172" t="e">
        <f>'[5]12. Prostredie pre život'!#REF!</f>
        <v>#REF!</v>
      </c>
      <c r="O148" s="174" t="e">
        <f>'[5]12. Prostredie pre život'!#REF!</f>
        <v>#REF!</v>
      </c>
      <c r="P148" s="214">
        <v>15647.47</v>
      </c>
      <c r="Q148" s="215">
        <v>15647.47</v>
      </c>
      <c r="R148" s="215">
        <v>0</v>
      </c>
      <c r="S148" s="216">
        <v>0</v>
      </c>
      <c r="T148" s="175">
        <f t="shared" si="73"/>
        <v>19460</v>
      </c>
      <c r="U148" s="172">
        <f>'[5]12. Prostredie pre život'!$H$62</f>
        <v>19460</v>
      </c>
      <c r="V148" s="172">
        <f>'[5]12. Prostredie pre život'!$I$62</f>
        <v>0</v>
      </c>
      <c r="W148" s="174">
        <f>'[5]12. Prostredie pre život'!$J$62</f>
        <v>0</v>
      </c>
    </row>
    <row r="149" spans="1:23" ht="16.5" x14ac:dyDescent="0.3">
      <c r="A149" s="85"/>
      <c r="B149" s="207" t="s">
        <v>336</v>
      </c>
      <c r="C149" s="208" t="s">
        <v>337</v>
      </c>
      <c r="D149" s="186" t="e">
        <f t="shared" si="70"/>
        <v>#REF!</v>
      </c>
      <c r="E149" s="181">
        <v>11753.49</v>
      </c>
      <c r="F149" s="181">
        <v>0</v>
      </c>
      <c r="G149" s="209" t="e">
        <f>'[5]12. Prostredie pre život'!#REF!</f>
        <v>#REF!</v>
      </c>
      <c r="H149" s="171">
        <f t="shared" si="71"/>
        <v>10452.49</v>
      </c>
      <c r="I149" s="172">
        <v>10452.49</v>
      </c>
      <c r="J149" s="172">
        <v>0</v>
      </c>
      <c r="K149" s="174">
        <v>0</v>
      </c>
      <c r="L149" s="183" t="e">
        <f t="shared" si="72"/>
        <v>#REF!</v>
      </c>
      <c r="M149" s="181" t="e">
        <f>'[5]12. Prostredie pre život'!#REF!</f>
        <v>#REF!</v>
      </c>
      <c r="N149" s="181" t="e">
        <f>'[5]12. Prostredie pre život'!#REF!</f>
        <v>#REF!</v>
      </c>
      <c r="O149" s="182" t="e">
        <f>'[5]12. Prostredie pre život'!#REF!</f>
        <v>#REF!</v>
      </c>
      <c r="P149" s="219">
        <v>12844.74</v>
      </c>
      <c r="Q149" s="220">
        <v>12844.74</v>
      </c>
      <c r="R149" s="220">
        <v>0</v>
      </c>
      <c r="S149" s="221">
        <v>0</v>
      </c>
      <c r="T149" s="183">
        <f t="shared" si="73"/>
        <v>37430</v>
      </c>
      <c r="U149" s="181">
        <f>'[5]12. Prostredie pre život'!$H$69</f>
        <v>28950</v>
      </c>
      <c r="V149" s="181">
        <f>'[5]12. Prostredie pre život'!$I$69</f>
        <v>8480</v>
      </c>
      <c r="W149" s="182">
        <f>'[5]12. Prostredie pre život'!$J$69</f>
        <v>0</v>
      </c>
    </row>
    <row r="150" spans="1:23" ht="16.5" thickBot="1" x14ac:dyDescent="0.3">
      <c r="A150" s="85"/>
      <c r="B150" s="210" t="s">
        <v>338</v>
      </c>
      <c r="C150" s="185" t="s">
        <v>339</v>
      </c>
      <c r="D150" s="178" t="e">
        <f t="shared" si="70"/>
        <v>#REF!</v>
      </c>
      <c r="E150" s="179">
        <v>4000</v>
      </c>
      <c r="F150" s="179" t="e">
        <f>'[5]12. Prostredie pre život'!#REF!</f>
        <v>#REF!</v>
      </c>
      <c r="G150" s="180" t="e">
        <f>'[5]12. Prostredie pre život'!#REF!</f>
        <v>#REF!</v>
      </c>
      <c r="H150" s="186">
        <f t="shared" si="71"/>
        <v>0</v>
      </c>
      <c r="I150" s="181">
        <v>0</v>
      </c>
      <c r="J150" s="181">
        <v>0</v>
      </c>
      <c r="K150" s="182">
        <v>0</v>
      </c>
      <c r="L150" s="187" t="e">
        <f t="shared" si="72"/>
        <v>#REF!</v>
      </c>
      <c r="M150" s="179" t="e">
        <f>'[5]12. Prostredie pre život'!#REF!</f>
        <v>#REF!</v>
      </c>
      <c r="N150" s="179" t="e">
        <f>'[5]12. Prostredie pre život'!#REF!</f>
        <v>#REF!</v>
      </c>
      <c r="O150" s="188" t="e">
        <f>'[5]12. Prostredie pre život'!#REF!</f>
        <v>#REF!</v>
      </c>
      <c r="P150" s="224">
        <v>0</v>
      </c>
      <c r="Q150" s="225">
        <v>0</v>
      </c>
      <c r="R150" s="225">
        <v>0</v>
      </c>
      <c r="S150" s="226">
        <v>0</v>
      </c>
      <c r="T150" s="187">
        <f t="shared" si="73"/>
        <v>0</v>
      </c>
      <c r="U150" s="179">
        <f>'[5]12. Prostredie pre život'!$H$98</f>
        <v>0</v>
      </c>
      <c r="V150" s="179">
        <f>'[5]12. Prostredie pre život'!$I$98</f>
        <v>0</v>
      </c>
      <c r="W150" s="188">
        <f>'[5]12. Prostredie pre život'!$J$98</f>
        <v>0</v>
      </c>
    </row>
    <row r="151" spans="1:23" s="63" customFormat="1" ht="14.25" x14ac:dyDescent="0.2">
      <c r="A151" s="93"/>
      <c r="B151" s="159" t="s">
        <v>340</v>
      </c>
      <c r="C151" s="160" t="s">
        <v>341</v>
      </c>
      <c r="D151" s="149" t="e">
        <f t="shared" ref="D151:W151" si="74">D152+D156+D161+D165+D169+D170+D171+D173</f>
        <v>#REF!</v>
      </c>
      <c r="E151" s="150">
        <f t="shared" si="74"/>
        <v>478345</v>
      </c>
      <c r="F151" s="150" t="e">
        <f t="shared" si="74"/>
        <v>#REF!</v>
      </c>
      <c r="G151" s="151" t="e">
        <f t="shared" si="74"/>
        <v>#REF!</v>
      </c>
      <c r="H151" s="149" t="e">
        <f t="shared" si="74"/>
        <v>#REF!</v>
      </c>
      <c r="I151" s="150" t="e">
        <f t="shared" si="74"/>
        <v>#REF!</v>
      </c>
      <c r="J151" s="150">
        <f t="shared" si="74"/>
        <v>0</v>
      </c>
      <c r="K151" s="152">
        <f t="shared" si="74"/>
        <v>0</v>
      </c>
      <c r="L151" s="153" t="e">
        <f t="shared" si="74"/>
        <v>#REF!</v>
      </c>
      <c r="M151" s="150" t="e">
        <f t="shared" si="74"/>
        <v>#REF!</v>
      </c>
      <c r="N151" s="150" t="e">
        <f t="shared" si="74"/>
        <v>#REF!</v>
      </c>
      <c r="O151" s="152" t="e">
        <f t="shared" si="74"/>
        <v>#REF!</v>
      </c>
      <c r="P151" s="222">
        <v>568946.19999999995</v>
      </c>
      <c r="Q151" s="223">
        <v>554686.36</v>
      </c>
      <c r="R151" s="223">
        <v>14259.84</v>
      </c>
      <c r="S151" s="227">
        <v>0</v>
      </c>
      <c r="T151" s="153" t="e">
        <f t="shared" si="74"/>
        <v>#REF!</v>
      </c>
      <c r="U151" s="150">
        <f t="shared" si="74"/>
        <v>27768</v>
      </c>
      <c r="V151" s="150" t="e">
        <f t="shared" si="74"/>
        <v>#REF!</v>
      </c>
      <c r="W151" s="152" t="e">
        <f t="shared" si="74"/>
        <v>#REF!</v>
      </c>
    </row>
    <row r="152" spans="1:23" ht="15.75" x14ac:dyDescent="0.25">
      <c r="A152" s="85"/>
      <c r="B152" s="193" t="s">
        <v>342</v>
      </c>
      <c r="C152" s="184" t="s">
        <v>343</v>
      </c>
      <c r="D152" s="171" t="e">
        <f t="shared" ref="D152:W152" si="75">SUM(D153:D155)</f>
        <v>#REF!</v>
      </c>
      <c r="E152" s="172">
        <f t="shared" si="75"/>
        <v>16490</v>
      </c>
      <c r="F152" s="172" t="e">
        <f t="shared" si="75"/>
        <v>#REF!</v>
      </c>
      <c r="G152" s="173" t="e">
        <f t="shared" si="75"/>
        <v>#REF!</v>
      </c>
      <c r="H152" s="171">
        <f t="shared" si="75"/>
        <v>21830</v>
      </c>
      <c r="I152" s="172">
        <f t="shared" si="75"/>
        <v>21830</v>
      </c>
      <c r="J152" s="172">
        <f t="shared" si="75"/>
        <v>0</v>
      </c>
      <c r="K152" s="174">
        <f t="shared" si="75"/>
        <v>0</v>
      </c>
      <c r="L152" s="175" t="e">
        <f t="shared" si="75"/>
        <v>#REF!</v>
      </c>
      <c r="M152" s="172" t="e">
        <f t="shared" si="75"/>
        <v>#REF!</v>
      </c>
      <c r="N152" s="172" t="e">
        <f t="shared" si="75"/>
        <v>#REF!</v>
      </c>
      <c r="O152" s="174" t="e">
        <f t="shared" si="75"/>
        <v>#REF!</v>
      </c>
      <c r="P152" s="214">
        <v>34492.82</v>
      </c>
      <c r="Q152" s="215">
        <v>34492.82</v>
      </c>
      <c r="R152" s="215">
        <v>0</v>
      </c>
      <c r="S152" s="216">
        <v>0</v>
      </c>
      <c r="T152" s="175" t="e">
        <f t="shared" si="75"/>
        <v>#REF!</v>
      </c>
      <c r="U152" s="172">
        <f t="shared" si="75"/>
        <v>2000</v>
      </c>
      <c r="V152" s="172" t="e">
        <f t="shared" si="75"/>
        <v>#REF!</v>
      </c>
      <c r="W152" s="174" t="e">
        <f t="shared" si="75"/>
        <v>#REF!</v>
      </c>
    </row>
    <row r="153" spans="1:23" ht="15.75" x14ac:dyDescent="0.25">
      <c r="A153" s="85"/>
      <c r="B153" s="70">
        <v>1</v>
      </c>
      <c r="C153" s="84" t="s">
        <v>344</v>
      </c>
      <c r="D153" s="72" t="e">
        <f>SUM(E153:G153)</f>
        <v>#REF!</v>
      </c>
      <c r="E153" s="73">
        <v>14860</v>
      </c>
      <c r="F153" s="73" t="e">
        <f>'[5]13. Sociálna starostlivosť'!#REF!</f>
        <v>#REF!</v>
      </c>
      <c r="G153" s="74" t="e">
        <f>'[5]13. Sociálna starostlivosť'!#REF!</f>
        <v>#REF!</v>
      </c>
      <c r="H153" s="72">
        <f>SUM(I153:K153)</f>
        <v>12090</v>
      </c>
      <c r="I153" s="73">
        <v>12090</v>
      </c>
      <c r="J153" s="73">
        <v>0</v>
      </c>
      <c r="K153" s="75">
        <v>0</v>
      </c>
      <c r="L153" s="76" t="e">
        <f>SUM(M153:O153)</f>
        <v>#REF!</v>
      </c>
      <c r="M153" s="73">
        <v>15210</v>
      </c>
      <c r="N153" s="73" t="e">
        <f>'[5]13. Sociálna starostlivosť'!#REF!</f>
        <v>#REF!</v>
      </c>
      <c r="O153" s="75" t="e">
        <f>'[5]13. Sociálna starostlivosť'!#REF!</f>
        <v>#REF!</v>
      </c>
      <c r="P153" s="214">
        <v>15210</v>
      </c>
      <c r="Q153" s="217">
        <v>15210</v>
      </c>
      <c r="R153" s="217">
        <v>0</v>
      </c>
      <c r="S153" s="218">
        <v>0</v>
      </c>
      <c r="T153" s="76" t="e">
        <f>SUM(U153:W153)</f>
        <v>#REF!</v>
      </c>
      <c r="U153" s="73">
        <f>'[5]13. Sociálna starostlivosť'!$H$5</f>
        <v>0</v>
      </c>
      <c r="V153" s="73">
        <f>'[5]13. Sociálna starostlivosť'!$I$5</f>
        <v>0</v>
      </c>
      <c r="W153" s="75" t="e">
        <f>'[5]13. Sociálna starostlivosť'!$J$5</f>
        <v>#REF!</v>
      </c>
    </row>
    <row r="154" spans="1:23" ht="15.75" x14ac:dyDescent="0.25">
      <c r="A154" s="85"/>
      <c r="B154" s="70">
        <v>2</v>
      </c>
      <c r="C154" s="84" t="s">
        <v>345</v>
      </c>
      <c r="D154" s="72" t="e">
        <f>SUM(E154:G154)</f>
        <v>#REF!</v>
      </c>
      <c r="E154" s="73">
        <v>1630</v>
      </c>
      <c r="F154" s="73" t="e">
        <f>'[5]13. Sociálna starostlivosť'!#REF!</f>
        <v>#REF!</v>
      </c>
      <c r="G154" s="74" t="e">
        <f>'[5]13. Sociálna starostlivosť'!#REF!</f>
        <v>#REF!</v>
      </c>
      <c r="H154" s="72">
        <f>SUM(I154:K154)</f>
        <v>9740</v>
      </c>
      <c r="I154" s="73">
        <v>9740</v>
      </c>
      <c r="J154" s="73">
        <v>0</v>
      </c>
      <c r="K154" s="75">
        <v>0</v>
      </c>
      <c r="L154" s="76" t="e">
        <f>SUM(M154:O154)</f>
        <v>#REF!</v>
      </c>
      <c r="M154" s="73">
        <v>4010</v>
      </c>
      <c r="N154" s="73" t="e">
        <f>'[5]13. Sociálna starostlivosť'!#REF!</f>
        <v>#REF!</v>
      </c>
      <c r="O154" s="75" t="e">
        <f>'[5]13. Sociálna starostlivosť'!#REF!</f>
        <v>#REF!</v>
      </c>
      <c r="P154" s="214">
        <v>18000</v>
      </c>
      <c r="Q154" s="217">
        <v>18000</v>
      </c>
      <c r="R154" s="217">
        <v>0</v>
      </c>
      <c r="S154" s="218">
        <v>0</v>
      </c>
      <c r="T154" s="76" t="e">
        <f>SUM(U154:W154)</f>
        <v>#REF!</v>
      </c>
      <c r="U154" s="73">
        <f>'[5]13. Sociálna starostlivosť'!$H$7</f>
        <v>0</v>
      </c>
      <c r="V154" s="73" t="e">
        <f>'[5]13. Sociálna starostlivosť'!$I$7</f>
        <v>#REF!</v>
      </c>
      <c r="W154" s="75" t="e">
        <f>'[5]13. Sociálna starostlivosť'!$J$7</f>
        <v>#REF!</v>
      </c>
    </row>
    <row r="155" spans="1:23" ht="15.75" x14ac:dyDescent="0.25">
      <c r="A155" s="85"/>
      <c r="B155" s="70">
        <v>3</v>
      </c>
      <c r="C155" s="84" t="s">
        <v>346</v>
      </c>
      <c r="D155" s="72" t="e">
        <f>SUM(E155:G155)</f>
        <v>#REF!</v>
      </c>
      <c r="E155" s="73">
        <v>0</v>
      </c>
      <c r="F155" s="73" t="e">
        <f>'[5]13. Sociálna starostlivosť'!#REF!</f>
        <v>#REF!</v>
      </c>
      <c r="G155" s="74" t="e">
        <f>'[5]13. Sociálna starostlivosť'!#REF!</f>
        <v>#REF!</v>
      </c>
      <c r="H155" s="72">
        <f>SUM(I155:K155)</f>
        <v>0</v>
      </c>
      <c r="I155" s="73">
        <v>0</v>
      </c>
      <c r="J155" s="73">
        <v>0</v>
      </c>
      <c r="K155" s="75">
        <v>0</v>
      </c>
      <c r="L155" s="76" t="e">
        <f>SUM(M155:O155)</f>
        <v>#REF!</v>
      </c>
      <c r="M155" s="73" t="e">
        <f>'[5]13. Sociálna starostlivosť'!#REF!</f>
        <v>#REF!</v>
      </c>
      <c r="N155" s="73" t="e">
        <f>'[5]13. Sociálna starostlivosť'!#REF!</f>
        <v>#REF!</v>
      </c>
      <c r="O155" s="75" t="e">
        <f>'[5]13. Sociálna starostlivosť'!#REF!</f>
        <v>#REF!</v>
      </c>
      <c r="P155" s="214">
        <v>1282.82</v>
      </c>
      <c r="Q155" s="217">
        <v>1282.82</v>
      </c>
      <c r="R155" s="217">
        <v>0</v>
      </c>
      <c r="S155" s="218">
        <v>0</v>
      </c>
      <c r="T155" s="76">
        <f>SUM(U155:W155)</f>
        <v>2000</v>
      </c>
      <c r="U155" s="73">
        <f>'[5]13. Sociálna starostlivosť'!$H$8</f>
        <v>2000</v>
      </c>
      <c r="V155" s="73">
        <f>'[5]13. Sociálna starostlivosť'!$I$8</f>
        <v>0</v>
      </c>
      <c r="W155" s="75">
        <f>'[5]13. Sociálna starostlivosť'!$J$8</f>
        <v>0</v>
      </c>
    </row>
    <row r="156" spans="1:23" ht="15.75" x14ac:dyDescent="0.25">
      <c r="A156" s="93"/>
      <c r="B156" s="193" t="s">
        <v>347</v>
      </c>
      <c r="C156" s="184" t="s">
        <v>348</v>
      </c>
      <c r="D156" s="171" t="e">
        <f t="shared" ref="D156:W156" si="76">SUM(D157:D160)</f>
        <v>#REF!</v>
      </c>
      <c r="E156" s="172">
        <f t="shared" si="76"/>
        <v>174640</v>
      </c>
      <c r="F156" s="172" t="e">
        <f t="shared" si="76"/>
        <v>#REF!</v>
      </c>
      <c r="G156" s="173" t="e">
        <f t="shared" si="76"/>
        <v>#REF!</v>
      </c>
      <c r="H156" s="171">
        <f t="shared" si="76"/>
        <v>284247</v>
      </c>
      <c r="I156" s="172">
        <f t="shared" si="76"/>
        <v>284247</v>
      </c>
      <c r="J156" s="172">
        <f t="shared" si="76"/>
        <v>0</v>
      </c>
      <c r="K156" s="174">
        <f t="shared" si="76"/>
        <v>0</v>
      </c>
      <c r="L156" s="175" t="e">
        <f t="shared" si="76"/>
        <v>#REF!</v>
      </c>
      <c r="M156" s="172" t="e">
        <f t="shared" si="76"/>
        <v>#REF!</v>
      </c>
      <c r="N156" s="172" t="e">
        <f t="shared" si="76"/>
        <v>#REF!</v>
      </c>
      <c r="O156" s="174" t="e">
        <f t="shared" si="76"/>
        <v>#REF!</v>
      </c>
      <c r="P156" s="214">
        <v>326578.67</v>
      </c>
      <c r="Q156" s="215">
        <v>315061.67</v>
      </c>
      <c r="R156" s="215">
        <v>11517</v>
      </c>
      <c r="S156" s="216">
        <v>0</v>
      </c>
      <c r="T156" s="175" t="e">
        <f t="shared" si="76"/>
        <v>#REF!</v>
      </c>
      <c r="U156" s="172">
        <f t="shared" si="76"/>
        <v>7850</v>
      </c>
      <c r="V156" s="172" t="e">
        <f t="shared" si="76"/>
        <v>#REF!</v>
      </c>
      <c r="W156" s="174" t="e">
        <f t="shared" si="76"/>
        <v>#REF!</v>
      </c>
    </row>
    <row r="157" spans="1:23" ht="15.75" x14ac:dyDescent="0.25">
      <c r="A157" s="93"/>
      <c r="B157" s="70">
        <v>1</v>
      </c>
      <c r="C157" s="84" t="s">
        <v>349</v>
      </c>
      <c r="D157" s="72" t="e">
        <f>SUM(E157:G157)</f>
        <v>#REF!</v>
      </c>
      <c r="E157" s="73">
        <v>112320</v>
      </c>
      <c r="F157" s="73" t="e">
        <f>'[5]13. Sociálna starostlivosť'!#REF!</f>
        <v>#REF!</v>
      </c>
      <c r="G157" s="74" t="e">
        <f>'[5]13. Sociálna starostlivosť'!#REF!</f>
        <v>#REF!</v>
      </c>
      <c r="H157" s="72">
        <f>SUM(I157:K157)</f>
        <v>219207</v>
      </c>
      <c r="I157" s="73">
        <v>219207</v>
      </c>
      <c r="J157" s="73">
        <v>0</v>
      </c>
      <c r="K157" s="75">
        <v>0</v>
      </c>
      <c r="L157" s="76" t="e">
        <f>SUM(M157:O157)</f>
        <v>#REF!</v>
      </c>
      <c r="M157" s="73">
        <v>226400</v>
      </c>
      <c r="N157" s="73" t="e">
        <f>'[5]13. Sociálna starostlivosť'!#REF!</f>
        <v>#REF!</v>
      </c>
      <c r="O157" s="75" t="e">
        <f>'[5]13. Sociálna starostlivosť'!#REF!</f>
        <v>#REF!</v>
      </c>
      <c r="P157" s="214">
        <v>237717</v>
      </c>
      <c r="Q157" s="217">
        <v>226200</v>
      </c>
      <c r="R157" s="217">
        <v>11517</v>
      </c>
      <c r="S157" s="218">
        <v>0</v>
      </c>
      <c r="T157" s="76">
        <f>SUM(U157:W157)</f>
        <v>155</v>
      </c>
      <c r="U157" s="73">
        <f>'[5]13. Sociálna starostlivosť'!$H$11</f>
        <v>155</v>
      </c>
      <c r="V157" s="73">
        <f>'[5]13. Sociálna starostlivosť'!$I$11</f>
        <v>0</v>
      </c>
      <c r="W157" s="75">
        <f>'[5]13. Sociálna starostlivosť'!$J$11</f>
        <v>0</v>
      </c>
    </row>
    <row r="158" spans="1:23" ht="15.75" x14ac:dyDescent="0.25">
      <c r="A158" s="93"/>
      <c r="B158" s="70">
        <v>2</v>
      </c>
      <c r="C158" s="84" t="s">
        <v>350</v>
      </c>
      <c r="D158" s="72" t="e">
        <f>SUM(E158:G158)</f>
        <v>#REF!</v>
      </c>
      <c r="E158" s="73">
        <v>49250</v>
      </c>
      <c r="F158" s="73" t="e">
        <f>'[5]13. Sociálna starostlivosť'!#REF!</f>
        <v>#REF!</v>
      </c>
      <c r="G158" s="74" t="e">
        <f>'[5]13. Sociálna starostlivosť'!#REF!</f>
        <v>#REF!</v>
      </c>
      <c r="H158" s="72">
        <f>SUM(I158:K158)</f>
        <v>54130</v>
      </c>
      <c r="I158" s="73">
        <v>54130</v>
      </c>
      <c r="J158" s="73">
        <v>0</v>
      </c>
      <c r="K158" s="75">
        <v>0</v>
      </c>
      <c r="L158" s="76" t="e">
        <f>SUM(M158:O158)</f>
        <v>#REF!</v>
      </c>
      <c r="M158" s="73">
        <v>52150</v>
      </c>
      <c r="N158" s="73" t="e">
        <f>'[5]13. Sociálna starostlivosť'!#REF!</f>
        <v>#REF!</v>
      </c>
      <c r="O158" s="75" t="e">
        <f>'[5]13. Sociálna starostlivosť'!#REF!</f>
        <v>#REF!</v>
      </c>
      <c r="P158" s="214">
        <v>52150</v>
      </c>
      <c r="Q158" s="217">
        <v>52150</v>
      </c>
      <c r="R158" s="217">
        <v>0</v>
      </c>
      <c r="S158" s="218">
        <v>0</v>
      </c>
      <c r="T158" s="76" t="e">
        <f>SUM(U158:W158)</f>
        <v>#REF!</v>
      </c>
      <c r="U158" s="73">
        <f>'[5]13. Sociálna starostlivosť'!$H$17</f>
        <v>0</v>
      </c>
      <c r="V158" s="73" t="e">
        <f>'[5]13. Sociálna starostlivosť'!$I$17</f>
        <v>#REF!</v>
      </c>
      <c r="W158" s="75" t="e">
        <f>'[5]13. Sociálna starostlivosť'!$J$17</f>
        <v>#REF!</v>
      </c>
    </row>
    <row r="159" spans="1:23" ht="15.75" x14ac:dyDescent="0.25">
      <c r="A159" s="93"/>
      <c r="B159" s="70">
        <v>3</v>
      </c>
      <c r="C159" s="84" t="s">
        <v>351</v>
      </c>
      <c r="D159" s="72" t="e">
        <f>SUM(E159:G159)</f>
        <v>#REF!</v>
      </c>
      <c r="E159" s="73">
        <v>0</v>
      </c>
      <c r="F159" s="73" t="e">
        <f>'[5]13. Sociálna starostlivosť'!#REF!</f>
        <v>#REF!</v>
      </c>
      <c r="G159" s="74" t="e">
        <f>'[5]13. Sociálna starostlivosť'!#REF!</f>
        <v>#REF!</v>
      </c>
      <c r="H159" s="72">
        <f>SUM(I159:K159)</f>
        <v>6950</v>
      </c>
      <c r="I159" s="73">
        <v>6950</v>
      </c>
      <c r="J159" s="73">
        <v>0</v>
      </c>
      <c r="K159" s="75">
        <v>0</v>
      </c>
      <c r="L159" s="76" t="e">
        <f>SUM(M159:O159)</f>
        <v>#REF!</v>
      </c>
      <c r="M159" s="73" t="e">
        <f>'[5]13. Sociálna starostlivosť'!#REF!</f>
        <v>#REF!</v>
      </c>
      <c r="N159" s="73" t="e">
        <f>'[5]13. Sociálna starostlivosť'!#REF!</f>
        <v>#REF!</v>
      </c>
      <c r="O159" s="75" t="e">
        <f>'[5]13. Sociálna starostlivosť'!#REF!</f>
        <v>#REF!</v>
      </c>
      <c r="P159" s="214">
        <v>10011.67</v>
      </c>
      <c r="Q159" s="217">
        <v>10011.67</v>
      </c>
      <c r="R159" s="217">
        <v>0</v>
      </c>
      <c r="S159" s="218">
        <v>0</v>
      </c>
      <c r="T159" s="76">
        <f>SUM(U159:W159)</f>
        <v>7695</v>
      </c>
      <c r="U159" s="73">
        <f>'[5]13. Sociálna starostlivosť'!$H$18</f>
        <v>7695</v>
      </c>
      <c r="V159" s="73">
        <f>'[5]13. Sociálna starostlivosť'!$I$18</f>
        <v>0</v>
      </c>
      <c r="W159" s="75">
        <f>'[5]13. Sociálna starostlivosť'!$J$18</f>
        <v>0</v>
      </c>
    </row>
    <row r="160" spans="1:23" ht="15.75" x14ac:dyDescent="0.25">
      <c r="A160" s="93"/>
      <c r="B160" s="70">
        <v>4</v>
      </c>
      <c r="C160" s="84" t="s">
        <v>352</v>
      </c>
      <c r="D160" s="72" t="e">
        <f>SUM(E160:G160)</f>
        <v>#REF!</v>
      </c>
      <c r="E160" s="73">
        <v>13070</v>
      </c>
      <c r="F160" s="73" t="e">
        <f>'[5]13. Sociálna starostlivosť'!#REF!</f>
        <v>#REF!</v>
      </c>
      <c r="G160" s="74" t="e">
        <f>'[5]13. Sociálna starostlivosť'!#REF!</f>
        <v>#REF!</v>
      </c>
      <c r="H160" s="72">
        <f>SUM(I160:K160)</f>
        <v>3960</v>
      </c>
      <c r="I160" s="73">
        <v>3960</v>
      </c>
      <c r="J160" s="73">
        <v>0</v>
      </c>
      <c r="K160" s="75">
        <v>0</v>
      </c>
      <c r="L160" s="76" t="e">
        <f>SUM(M160:O160)</f>
        <v>#REF!</v>
      </c>
      <c r="M160" s="73">
        <v>26700</v>
      </c>
      <c r="N160" s="73" t="e">
        <f>'[5]13. Sociálna starostlivosť'!#REF!</f>
        <v>#REF!</v>
      </c>
      <c r="O160" s="75" t="e">
        <f>'[5]13. Sociálna starostlivosť'!#REF!</f>
        <v>#REF!</v>
      </c>
      <c r="P160" s="214">
        <v>26700</v>
      </c>
      <c r="Q160" s="217">
        <v>26700</v>
      </c>
      <c r="R160" s="217">
        <v>0</v>
      </c>
      <c r="S160" s="218">
        <v>0</v>
      </c>
      <c r="T160" s="76" t="e">
        <f>SUM(U160:W160)</f>
        <v>#REF!</v>
      </c>
      <c r="U160" s="73">
        <f>'[5]13. Sociálna starostlivosť'!$H$20</f>
        <v>0</v>
      </c>
      <c r="V160" s="73" t="e">
        <f>'[5]13. Sociálna starostlivosť'!$I$20</f>
        <v>#REF!</v>
      </c>
      <c r="W160" s="75" t="e">
        <f>'[5]13. Sociálna starostlivosť'!$J$20</f>
        <v>#REF!</v>
      </c>
    </row>
    <row r="161" spans="1:23" ht="15.75" x14ac:dyDescent="0.25">
      <c r="A161" s="77"/>
      <c r="B161" s="193" t="s">
        <v>353</v>
      </c>
      <c r="C161" s="184" t="s">
        <v>354</v>
      </c>
      <c r="D161" s="171" t="e">
        <f t="shared" ref="D161:W161" si="77">SUM(D162:D164)</f>
        <v>#REF!</v>
      </c>
      <c r="E161" s="172">
        <f t="shared" si="77"/>
        <v>198930</v>
      </c>
      <c r="F161" s="172" t="e">
        <f t="shared" si="77"/>
        <v>#REF!</v>
      </c>
      <c r="G161" s="173" t="e">
        <f t="shared" si="77"/>
        <v>#REF!</v>
      </c>
      <c r="H161" s="171">
        <f t="shared" si="77"/>
        <v>167500</v>
      </c>
      <c r="I161" s="172">
        <f t="shared" si="77"/>
        <v>167500</v>
      </c>
      <c r="J161" s="172">
        <f t="shared" si="77"/>
        <v>0</v>
      </c>
      <c r="K161" s="174">
        <f t="shared" si="77"/>
        <v>0</v>
      </c>
      <c r="L161" s="175" t="e">
        <f t="shared" si="77"/>
        <v>#REF!</v>
      </c>
      <c r="M161" s="172">
        <f t="shared" si="77"/>
        <v>158480</v>
      </c>
      <c r="N161" s="172" t="e">
        <f t="shared" si="77"/>
        <v>#REF!</v>
      </c>
      <c r="O161" s="174" t="e">
        <f t="shared" si="77"/>
        <v>#REF!</v>
      </c>
      <c r="P161" s="214">
        <v>161222.84</v>
      </c>
      <c r="Q161" s="215">
        <v>158480</v>
      </c>
      <c r="R161" s="215">
        <v>2742.84</v>
      </c>
      <c r="S161" s="216">
        <v>0</v>
      </c>
      <c r="T161" s="175" t="e">
        <f t="shared" si="77"/>
        <v>#REF!</v>
      </c>
      <c r="U161" s="172">
        <f t="shared" si="77"/>
        <v>0</v>
      </c>
      <c r="V161" s="172" t="e">
        <f t="shared" si="77"/>
        <v>#REF!</v>
      </c>
      <c r="W161" s="174" t="e">
        <f t="shared" si="77"/>
        <v>#REF!</v>
      </c>
    </row>
    <row r="162" spans="1:23" ht="15.75" x14ac:dyDescent="0.25">
      <c r="B162" s="70">
        <v>1</v>
      </c>
      <c r="C162" s="84" t="s">
        <v>355</v>
      </c>
      <c r="D162" s="72" t="e">
        <f>SUM(E162:G162)</f>
        <v>#REF!</v>
      </c>
      <c r="E162" s="73">
        <v>34940</v>
      </c>
      <c r="F162" s="73" t="e">
        <f>'[5]13. Sociálna starostlivosť'!#REF!</f>
        <v>#REF!</v>
      </c>
      <c r="G162" s="74" t="e">
        <f>'[5]13. Sociálna starostlivosť'!#REF!</f>
        <v>#REF!</v>
      </c>
      <c r="H162" s="72">
        <f>SUM(I162:K162)</f>
        <v>30970</v>
      </c>
      <c r="I162" s="73">
        <v>30970</v>
      </c>
      <c r="J162" s="73">
        <v>0</v>
      </c>
      <c r="K162" s="75">
        <v>0</v>
      </c>
      <c r="L162" s="76" t="e">
        <f>SUM(M162:O162)</f>
        <v>#REF!</v>
      </c>
      <c r="M162" s="73">
        <v>32570</v>
      </c>
      <c r="N162" s="73" t="e">
        <f>'[5]13. Sociálna starostlivosť'!#REF!</f>
        <v>#REF!</v>
      </c>
      <c r="O162" s="75" t="e">
        <f>'[5]13. Sociálna starostlivosť'!#REF!</f>
        <v>#REF!</v>
      </c>
      <c r="P162" s="214">
        <v>32570</v>
      </c>
      <c r="Q162" s="217">
        <v>32570</v>
      </c>
      <c r="R162" s="217">
        <v>0</v>
      </c>
      <c r="S162" s="218">
        <v>0</v>
      </c>
      <c r="T162" s="76" t="e">
        <f>SUM(U162:W162)</f>
        <v>#REF!</v>
      </c>
      <c r="U162" s="73">
        <f>'[5]13. Sociálna starostlivosť'!$H$22</f>
        <v>0</v>
      </c>
      <c r="V162" s="73" t="e">
        <f>'[5]13. Sociálna starostlivosť'!$I$22</f>
        <v>#REF!</v>
      </c>
      <c r="W162" s="75" t="e">
        <f>'[5]13. Sociálna starostlivosť'!$J$22</f>
        <v>#REF!</v>
      </c>
    </row>
    <row r="163" spans="1:23" ht="15.75" x14ac:dyDescent="0.25">
      <c r="B163" s="70">
        <v>2</v>
      </c>
      <c r="C163" s="84" t="s">
        <v>356</v>
      </c>
      <c r="D163" s="72" t="e">
        <f>SUM(E163:G163)</f>
        <v>#REF!</v>
      </c>
      <c r="E163" s="73">
        <v>64410</v>
      </c>
      <c r="F163" s="73" t="e">
        <f>'[5]13. Sociálna starostlivosť'!#REF!</f>
        <v>#REF!</v>
      </c>
      <c r="G163" s="74" t="e">
        <f>'[5]13. Sociálna starostlivosť'!#REF!</f>
        <v>#REF!</v>
      </c>
      <c r="H163" s="72">
        <f>SUM(I163:K163)</f>
        <v>46280</v>
      </c>
      <c r="I163" s="73">
        <v>46280</v>
      </c>
      <c r="J163" s="73">
        <v>0</v>
      </c>
      <c r="K163" s="75">
        <v>0</v>
      </c>
      <c r="L163" s="76" t="e">
        <f>SUM(M163:O163)</f>
        <v>#REF!</v>
      </c>
      <c r="M163" s="73">
        <v>40310</v>
      </c>
      <c r="N163" s="73" t="e">
        <f>'[5]13. Sociálna starostlivosť'!#REF!</f>
        <v>#REF!</v>
      </c>
      <c r="O163" s="75" t="e">
        <f>'[5]13. Sociálna starostlivosť'!#REF!</f>
        <v>#REF!</v>
      </c>
      <c r="P163" s="214">
        <v>40310</v>
      </c>
      <c r="Q163" s="217">
        <v>40310</v>
      </c>
      <c r="R163" s="217">
        <v>0</v>
      </c>
      <c r="S163" s="218">
        <v>0</v>
      </c>
      <c r="T163" s="76" t="e">
        <f>SUM(U163:W163)</f>
        <v>#REF!</v>
      </c>
      <c r="U163" s="73">
        <f>'[5]13. Sociálna starostlivosť'!$H$24</f>
        <v>0</v>
      </c>
      <c r="V163" s="73" t="e">
        <f>'[5]13. Sociálna starostlivosť'!$I$24</f>
        <v>#REF!</v>
      </c>
      <c r="W163" s="75" t="e">
        <f>'[5]13. Sociálna starostlivosť'!$J$24</f>
        <v>#REF!</v>
      </c>
    </row>
    <row r="164" spans="1:23" ht="15.75" x14ac:dyDescent="0.25">
      <c r="A164" s="93"/>
      <c r="B164" s="70">
        <v>3</v>
      </c>
      <c r="C164" s="84" t="s">
        <v>357</v>
      </c>
      <c r="D164" s="72" t="e">
        <f>SUM(E164:G164)</f>
        <v>#REF!</v>
      </c>
      <c r="E164" s="73">
        <v>99580</v>
      </c>
      <c r="F164" s="73">
        <v>0</v>
      </c>
      <c r="G164" s="74" t="e">
        <f>'[5]13. Sociálna starostlivosť'!#REF!</f>
        <v>#REF!</v>
      </c>
      <c r="H164" s="72">
        <f>SUM(I164:K164)</f>
        <v>90250</v>
      </c>
      <c r="I164" s="73">
        <v>90250</v>
      </c>
      <c r="J164" s="73">
        <v>0</v>
      </c>
      <c r="K164" s="75">
        <v>0</v>
      </c>
      <c r="L164" s="76" t="e">
        <f>SUM(M164:O164)</f>
        <v>#REF!</v>
      </c>
      <c r="M164" s="73">
        <v>85600</v>
      </c>
      <c r="N164" s="73">
        <v>1157243</v>
      </c>
      <c r="O164" s="75" t="e">
        <f>'[5]13. Sociálna starostlivosť'!#REF!</f>
        <v>#REF!</v>
      </c>
      <c r="P164" s="214">
        <v>88342.84</v>
      </c>
      <c r="Q164" s="217">
        <v>85600</v>
      </c>
      <c r="R164" s="217">
        <v>2742.84</v>
      </c>
      <c r="S164" s="218">
        <v>0</v>
      </c>
      <c r="T164" s="76">
        <f>SUM(U164:W164)</f>
        <v>2032610</v>
      </c>
      <c r="U164" s="73">
        <f>'[5]13. Sociálna starostlivosť'!$H$25</f>
        <v>0</v>
      </c>
      <c r="V164" s="73">
        <f>'[5]13. Sociálna starostlivosť'!$I$25</f>
        <v>2032610</v>
      </c>
      <c r="W164" s="75">
        <f>'[5]13. Sociálna starostlivosť'!$J$25</f>
        <v>0</v>
      </c>
    </row>
    <row r="165" spans="1:23" ht="15.75" x14ac:dyDescent="0.25">
      <c r="B165" s="193" t="s">
        <v>358</v>
      </c>
      <c r="C165" s="184" t="s">
        <v>359</v>
      </c>
      <c r="D165" s="171" t="e">
        <f t="shared" ref="D165:W165" si="78">SUM(D166:D168)</f>
        <v>#REF!</v>
      </c>
      <c r="E165" s="172">
        <f t="shared" si="78"/>
        <v>34760</v>
      </c>
      <c r="F165" s="172" t="e">
        <f t="shared" si="78"/>
        <v>#REF!</v>
      </c>
      <c r="G165" s="173" t="e">
        <f t="shared" si="78"/>
        <v>#REF!</v>
      </c>
      <c r="H165" s="171">
        <f t="shared" si="78"/>
        <v>28926</v>
      </c>
      <c r="I165" s="172">
        <f t="shared" si="78"/>
        <v>28926</v>
      </c>
      <c r="J165" s="172">
        <f t="shared" si="78"/>
        <v>0</v>
      </c>
      <c r="K165" s="174">
        <f t="shared" si="78"/>
        <v>0</v>
      </c>
      <c r="L165" s="175" t="e">
        <f t="shared" si="78"/>
        <v>#REF!</v>
      </c>
      <c r="M165" s="172" t="e">
        <f t="shared" si="78"/>
        <v>#REF!</v>
      </c>
      <c r="N165" s="172" t="e">
        <f t="shared" si="78"/>
        <v>#REF!</v>
      </c>
      <c r="O165" s="174" t="e">
        <f t="shared" si="78"/>
        <v>#REF!</v>
      </c>
      <c r="P165" s="214">
        <v>25010</v>
      </c>
      <c r="Q165" s="215">
        <v>25010</v>
      </c>
      <c r="R165" s="215">
        <v>0</v>
      </c>
      <c r="S165" s="216">
        <v>0</v>
      </c>
      <c r="T165" s="175" t="e">
        <f t="shared" si="78"/>
        <v>#REF!</v>
      </c>
      <c r="U165" s="172">
        <f t="shared" si="78"/>
        <v>0</v>
      </c>
      <c r="V165" s="172" t="e">
        <f t="shared" si="78"/>
        <v>#REF!</v>
      </c>
      <c r="W165" s="174" t="e">
        <f t="shared" si="78"/>
        <v>#REF!</v>
      </c>
    </row>
    <row r="166" spans="1:23" ht="15.75" x14ac:dyDescent="0.25">
      <c r="B166" s="70">
        <v>1</v>
      </c>
      <c r="C166" s="84" t="s">
        <v>360</v>
      </c>
      <c r="D166" s="72" t="e">
        <f>SUM(E166:G166)</f>
        <v>#REF!</v>
      </c>
      <c r="E166" s="73">
        <v>17230</v>
      </c>
      <c r="F166" s="73">
        <v>881</v>
      </c>
      <c r="G166" s="74" t="e">
        <f>'[5]13. Sociálna starostlivosť'!#REF!</f>
        <v>#REF!</v>
      </c>
      <c r="H166" s="72">
        <f>SUM(I166:K166)</f>
        <v>7190</v>
      </c>
      <c r="I166" s="73">
        <v>7190</v>
      </c>
      <c r="J166" s="73">
        <v>0</v>
      </c>
      <c r="K166" s="75">
        <v>0</v>
      </c>
      <c r="L166" s="76" t="e">
        <f>SUM(M166:O166)</f>
        <v>#REF!</v>
      </c>
      <c r="M166" s="73">
        <v>18020</v>
      </c>
      <c r="N166" s="73" t="e">
        <f>'[5]13. Sociálna starostlivosť'!#REF!</f>
        <v>#REF!</v>
      </c>
      <c r="O166" s="75" t="e">
        <f>'[5]13. Sociálna starostlivosť'!#REF!</f>
        <v>#REF!</v>
      </c>
      <c r="P166" s="214">
        <v>18020</v>
      </c>
      <c r="Q166" s="217">
        <v>18020</v>
      </c>
      <c r="R166" s="217">
        <v>0</v>
      </c>
      <c r="S166" s="218">
        <v>0</v>
      </c>
      <c r="T166" s="76">
        <f>SUM(U166:W166)</f>
        <v>0</v>
      </c>
      <c r="U166" s="73">
        <f>'[5]13. Sociálna starostlivosť'!$H$38</f>
        <v>0</v>
      </c>
      <c r="V166" s="73">
        <f>'[5]13. Sociálna starostlivosť'!$I$38</f>
        <v>0</v>
      </c>
      <c r="W166" s="75">
        <f>'[5]13. Sociálna starostlivosť'!$J$38</f>
        <v>0</v>
      </c>
    </row>
    <row r="167" spans="1:23" ht="15.75" x14ac:dyDescent="0.25">
      <c r="B167" s="70">
        <v>2</v>
      </c>
      <c r="C167" s="84" t="s">
        <v>361</v>
      </c>
      <c r="D167" s="72" t="e">
        <f>SUM(E167:G167)</f>
        <v>#REF!</v>
      </c>
      <c r="E167" s="73">
        <v>540</v>
      </c>
      <c r="F167" s="73" t="e">
        <f>'[5]13. Sociálna starostlivosť'!#REF!</f>
        <v>#REF!</v>
      </c>
      <c r="G167" s="74" t="e">
        <f>'[5]13. Sociálna starostlivosť'!#REF!</f>
        <v>#REF!</v>
      </c>
      <c r="H167" s="72">
        <f>SUM(I167:K167)</f>
        <v>1826</v>
      </c>
      <c r="I167" s="73">
        <v>1826</v>
      </c>
      <c r="J167" s="73">
        <v>0</v>
      </c>
      <c r="K167" s="75">
        <v>0</v>
      </c>
      <c r="L167" s="76" t="e">
        <f>SUM(M167:O167)</f>
        <v>#REF!</v>
      </c>
      <c r="M167" s="73" t="e">
        <f>'[5]13. Sociálna starostlivosť'!#REF!</f>
        <v>#REF!</v>
      </c>
      <c r="N167" s="73" t="e">
        <f>'[5]13. Sociálna starostlivosť'!#REF!</f>
        <v>#REF!</v>
      </c>
      <c r="O167" s="75" t="e">
        <f>'[5]13. Sociálna starostlivosť'!#REF!</f>
        <v>#REF!</v>
      </c>
      <c r="P167" s="214">
        <v>0</v>
      </c>
      <c r="Q167" s="217">
        <v>0</v>
      </c>
      <c r="R167" s="217">
        <v>0</v>
      </c>
      <c r="S167" s="218">
        <v>0</v>
      </c>
      <c r="T167" s="76">
        <f>SUM(U167:W167)</f>
        <v>0</v>
      </c>
      <c r="U167" s="73">
        <f>'[5]13. Sociálna starostlivosť'!$H$41</f>
        <v>0</v>
      </c>
      <c r="V167" s="73">
        <f>'[5]13. Sociálna starostlivosť'!$I$41</f>
        <v>0</v>
      </c>
      <c r="W167" s="75">
        <f>'[5]13. Sociálna starostlivosť'!$J$41</f>
        <v>0</v>
      </c>
    </row>
    <row r="168" spans="1:23" ht="15.75" x14ac:dyDescent="0.25">
      <c r="B168" s="70">
        <v>3</v>
      </c>
      <c r="C168" s="84" t="s">
        <v>362</v>
      </c>
      <c r="D168" s="72" t="e">
        <f>SUM(E168:G168)</f>
        <v>#REF!</v>
      </c>
      <c r="E168" s="73">
        <v>16990</v>
      </c>
      <c r="F168" s="73" t="e">
        <f>'[5]13. Sociálna starostlivosť'!#REF!</f>
        <v>#REF!</v>
      </c>
      <c r="G168" s="74" t="e">
        <f>'[5]13. Sociálna starostlivosť'!#REF!</f>
        <v>#REF!</v>
      </c>
      <c r="H168" s="72">
        <f>SUM(I168:K168)</f>
        <v>19910</v>
      </c>
      <c r="I168" s="73">
        <v>19910</v>
      </c>
      <c r="J168" s="73">
        <v>0</v>
      </c>
      <c r="K168" s="75">
        <v>0</v>
      </c>
      <c r="L168" s="76" t="e">
        <f>SUM(M168:O168)</f>
        <v>#REF!</v>
      </c>
      <c r="M168" s="73">
        <v>20980</v>
      </c>
      <c r="N168" s="73" t="e">
        <f>'[5]13. Sociálna starostlivosť'!#REF!</f>
        <v>#REF!</v>
      </c>
      <c r="O168" s="75" t="e">
        <f>'[5]13. Sociálna starostlivosť'!#REF!</f>
        <v>#REF!</v>
      </c>
      <c r="P168" s="214">
        <v>6990</v>
      </c>
      <c r="Q168" s="217">
        <v>6990</v>
      </c>
      <c r="R168" s="217">
        <v>0</v>
      </c>
      <c r="S168" s="218">
        <v>0</v>
      </c>
      <c r="T168" s="76" t="e">
        <f>SUM(U168:W168)</f>
        <v>#REF!</v>
      </c>
      <c r="U168" s="73">
        <f>'[5]13. Sociálna starostlivosť'!$H$43</f>
        <v>0</v>
      </c>
      <c r="V168" s="73" t="e">
        <f>'[5]13. Sociálna starostlivosť'!$I$43</f>
        <v>#REF!</v>
      </c>
      <c r="W168" s="75" t="e">
        <f>'[5]13. Sociálna starostlivosť'!$J$43</f>
        <v>#REF!</v>
      </c>
    </row>
    <row r="169" spans="1:23" ht="15.75" x14ac:dyDescent="0.25">
      <c r="B169" s="193" t="s">
        <v>363</v>
      </c>
      <c r="C169" s="184" t="s">
        <v>364</v>
      </c>
      <c r="D169" s="171" t="e">
        <f>SUM(E169:G169)</f>
        <v>#REF!</v>
      </c>
      <c r="E169" s="172">
        <v>5720</v>
      </c>
      <c r="F169" s="172" t="e">
        <f>'[5]13. Sociálna starostlivosť'!#REF!</f>
        <v>#REF!</v>
      </c>
      <c r="G169" s="173" t="e">
        <f>'[5]13. Sociálna starostlivosť'!#REF!</f>
        <v>#REF!</v>
      </c>
      <c r="H169" s="171">
        <f>SUM(I169:K169)</f>
        <v>6280</v>
      </c>
      <c r="I169" s="172">
        <v>6280</v>
      </c>
      <c r="J169" s="172">
        <v>0</v>
      </c>
      <c r="K169" s="174">
        <v>0</v>
      </c>
      <c r="L169" s="175" t="e">
        <f>SUM(M169:O169)</f>
        <v>#REF!</v>
      </c>
      <c r="M169" s="172">
        <v>6250</v>
      </c>
      <c r="N169" s="172" t="e">
        <f>'[5]13. Sociálna starostlivosť'!#REF!</f>
        <v>#REF!</v>
      </c>
      <c r="O169" s="174" t="e">
        <f>'[5]13. Sociálna starostlivosť'!#REF!</f>
        <v>#REF!</v>
      </c>
      <c r="P169" s="214">
        <v>6250</v>
      </c>
      <c r="Q169" s="215">
        <v>6250</v>
      </c>
      <c r="R169" s="215">
        <v>0</v>
      </c>
      <c r="S169" s="216">
        <v>0</v>
      </c>
      <c r="T169" s="175" t="e">
        <f>SUM(U169:W169)</f>
        <v>#REF!</v>
      </c>
      <c r="U169" s="172">
        <f>'[5]13. Sociálna starostlivosť'!$H$44</f>
        <v>0</v>
      </c>
      <c r="V169" s="172" t="e">
        <f>'[5]13. Sociálna starostlivosť'!$I$44</f>
        <v>#REF!</v>
      </c>
      <c r="W169" s="174" t="e">
        <f>'[5]13. Sociálna starostlivosť'!$J$44</f>
        <v>#REF!</v>
      </c>
    </row>
    <row r="170" spans="1:23" ht="16.5" x14ac:dyDescent="0.3">
      <c r="A170" s="85"/>
      <c r="B170" s="193" t="s">
        <v>365</v>
      </c>
      <c r="C170" s="189" t="s">
        <v>366</v>
      </c>
      <c r="D170" s="171" t="e">
        <f>SUM(E170:G170)</f>
        <v>#REF!</v>
      </c>
      <c r="E170" s="172">
        <v>11274</v>
      </c>
      <c r="F170" s="172" t="e">
        <f>'[5]13. Sociálna starostlivosť'!#REF!</f>
        <v>#REF!</v>
      </c>
      <c r="G170" s="173" t="e">
        <f>'[5]13. Sociálna starostlivosť'!#REF!</f>
        <v>#REF!</v>
      </c>
      <c r="H170" s="171">
        <f>SUM(I170:K170)</f>
        <v>10658.49</v>
      </c>
      <c r="I170" s="172">
        <v>10658.49</v>
      </c>
      <c r="J170" s="172">
        <v>0</v>
      </c>
      <c r="K170" s="174">
        <v>0</v>
      </c>
      <c r="L170" s="175" t="e">
        <f>SUM(M170:O170)</f>
        <v>#REF!</v>
      </c>
      <c r="M170" s="172" t="e">
        <f>'[5]13. Sociálna starostlivosť'!#REF!</f>
        <v>#REF!</v>
      </c>
      <c r="N170" s="172" t="e">
        <f>'[5]13. Sociálna starostlivosť'!#REF!</f>
        <v>#REF!</v>
      </c>
      <c r="O170" s="174" t="e">
        <f>'[5]13. Sociálna starostlivosť'!#REF!</f>
        <v>#REF!</v>
      </c>
      <c r="P170" s="214">
        <v>10946.4</v>
      </c>
      <c r="Q170" s="215">
        <v>10946.4</v>
      </c>
      <c r="R170" s="215">
        <v>0</v>
      </c>
      <c r="S170" s="216">
        <v>0</v>
      </c>
      <c r="T170" s="175">
        <f>SUM(U170:W170)</f>
        <v>16468</v>
      </c>
      <c r="U170" s="172">
        <f>'[5]13. Sociálna starostlivosť'!$H$45</f>
        <v>16468</v>
      </c>
      <c r="V170" s="172">
        <f>'[5]13. Sociálna starostlivosť'!$I$45</f>
        <v>0</v>
      </c>
      <c r="W170" s="174">
        <f>'[5]13. Sociálna starostlivosť'!$J$45</f>
        <v>0</v>
      </c>
    </row>
    <row r="171" spans="1:23" ht="15.75" x14ac:dyDescent="0.25">
      <c r="B171" s="193" t="s">
        <v>367</v>
      </c>
      <c r="C171" s="184" t="s">
        <v>368</v>
      </c>
      <c r="D171" s="171" t="e">
        <f>SUM(D172:D172)</f>
        <v>#REF!</v>
      </c>
      <c r="E171" s="172">
        <f>SUM(E172:E172)</f>
        <v>35699</v>
      </c>
      <c r="F171" s="172" t="e">
        <f>SUM(F172:F172)</f>
        <v>#REF!</v>
      </c>
      <c r="G171" s="173" t="e">
        <f t="shared" ref="G171:W171" si="79">SUM(G172)</f>
        <v>#REF!</v>
      </c>
      <c r="H171" s="171">
        <f t="shared" si="79"/>
        <v>11959.49</v>
      </c>
      <c r="I171" s="172">
        <f t="shared" si="79"/>
        <v>11959.49</v>
      </c>
      <c r="J171" s="172">
        <f t="shared" si="79"/>
        <v>0</v>
      </c>
      <c r="K171" s="174">
        <f t="shared" si="79"/>
        <v>0</v>
      </c>
      <c r="L171" s="175" t="e">
        <f t="shared" si="79"/>
        <v>#REF!</v>
      </c>
      <c r="M171" s="172" t="e">
        <f t="shared" si="79"/>
        <v>#REF!</v>
      </c>
      <c r="N171" s="172" t="e">
        <f t="shared" si="79"/>
        <v>#REF!</v>
      </c>
      <c r="O171" s="174" t="e">
        <f t="shared" si="79"/>
        <v>#REF!</v>
      </c>
      <c r="P171" s="214">
        <v>4445.47</v>
      </c>
      <c r="Q171" s="215">
        <v>4445.47</v>
      </c>
      <c r="R171" s="215">
        <v>0</v>
      </c>
      <c r="S171" s="216">
        <v>0</v>
      </c>
      <c r="T171" s="175" t="e">
        <f t="shared" si="79"/>
        <v>#REF!</v>
      </c>
      <c r="U171" s="172">
        <f t="shared" si="79"/>
        <v>150</v>
      </c>
      <c r="V171" s="172" t="e">
        <f t="shared" si="79"/>
        <v>#REF!</v>
      </c>
      <c r="W171" s="174" t="e">
        <f t="shared" si="79"/>
        <v>#REF!</v>
      </c>
    </row>
    <row r="172" spans="1:23" ht="15.75" x14ac:dyDescent="0.25">
      <c r="B172" s="70">
        <v>1</v>
      </c>
      <c r="C172" s="84" t="s">
        <v>369</v>
      </c>
      <c r="D172" s="72" t="e">
        <f>SUM(E172:G172)</f>
        <v>#REF!</v>
      </c>
      <c r="E172" s="73">
        <v>35699</v>
      </c>
      <c r="F172" s="73" t="e">
        <f>'[5]13. Sociálna starostlivosť'!#REF!</f>
        <v>#REF!</v>
      </c>
      <c r="G172" s="74" t="e">
        <f>'[5]13. Sociálna starostlivosť'!#REF!</f>
        <v>#REF!</v>
      </c>
      <c r="H172" s="72">
        <f>SUM(I172:K172)</f>
        <v>11959.49</v>
      </c>
      <c r="I172" s="73">
        <v>11959.49</v>
      </c>
      <c r="J172" s="73">
        <v>0</v>
      </c>
      <c r="K172" s="75">
        <v>0</v>
      </c>
      <c r="L172" s="76" t="e">
        <f>SUM(M172:O172)</f>
        <v>#REF!</v>
      </c>
      <c r="M172" s="73" t="e">
        <f>'[5]13. Sociálna starostlivosť'!#REF!</f>
        <v>#REF!</v>
      </c>
      <c r="N172" s="73" t="e">
        <f>'[5]13. Sociálna starostlivosť'!#REF!</f>
        <v>#REF!</v>
      </c>
      <c r="O172" s="75" t="e">
        <f>'[5]13. Sociálna starostlivosť'!#REF!</f>
        <v>#REF!</v>
      </c>
      <c r="P172" s="214">
        <v>4445.47</v>
      </c>
      <c r="Q172" s="217">
        <v>4445.47</v>
      </c>
      <c r="R172" s="217">
        <v>0</v>
      </c>
      <c r="S172" s="218">
        <v>0</v>
      </c>
      <c r="T172" s="76" t="e">
        <f>SUM(U172:W172)</f>
        <v>#REF!</v>
      </c>
      <c r="U172" s="73">
        <f>'[5]13. Sociálna starostlivosť'!$H$54</f>
        <v>150</v>
      </c>
      <c r="V172" s="73" t="e">
        <f>'[5]13. Sociálna starostlivosť'!$I$54</f>
        <v>#REF!</v>
      </c>
      <c r="W172" s="75" t="e">
        <f>'[5]13. Sociálna starostlivosť'!$J$54</f>
        <v>#REF!</v>
      </c>
    </row>
    <row r="173" spans="1:23" ht="17.25" thickBot="1" x14ac:dyDescent="0.35">
      <c r="A173" s="85"/>
      <c r="B173" s="190" t="s">
        <v>370</v>
      </c>
      <c r="C173" s="191" t="s">
        <v>371</v>
      </c>
      <c r="D173" s="178" t="e">
        <f>SUM(E173:G173)</f>
        <v>#REF!</v>
      </c>
      <c r="E173" s="179">
        <v>832</v>
      </c>
      <c r="F173" s="179" t="e">
        <f>'[5]13. Sociálna starostlivosť'!#REF!</f>
        <v>#REF!</v>
      </c>
      <c r="G173" s="180" t="e">
        <f>'[5]13. Sociálna starostlivosť'!#REF!</f>
        <v>#REF!</v>
      </c>
      <c r="H173" s="178" t="e">
        <f>SUM(I173:K173)</f>
        <v>#REF!</v>
      </c>
      <c r="I173" s="179" t="e">
        <f>'[5]13. Sociálna starostlivosť'!#REF!</f>
        <v>#REF!</v>
      </c>
      <c r="J173" s="179">
        <v>0</v>
      </c>
      <c r="K173" s="188">
        <v>0</v>
      </c>
      <c r="L173" s="187" t="e">
        <f>SUM(M173:O173)</f>
        <v>#REF!</v>
      </c>
      <c r="M173" s="179" t="e">
        <f>'[5]13. Sociálna starostlivosť'!#REF!</f>
        <v>#REF!</v>
      </c>
      <c r="N173" s="179" t="e">
        <f>'[5]13. Sociálna starostlivosť'!#REF!</f>
        <v>#REF!</v>
      </c>
      <c r="O173" s="188" t="e">
        <f>'[5]13. Sociálna starostlivosť'!#REF!</f>
        <v>#REF!</v>
      </c>
      <c r="P173" s="224">
        <v>0</v>
      </c>
      <c r="Q173" s="225">
        <v>0</v>
      </c>
      <c r="R173" s="225">
        <v>0</v>
      </c>
      <c r="S173" s="226">
        <v>0</v>
      </c>
      <c r="T173" s="187" t="e">
        <f>SUM(U173:W173)</f>
        <v>#REF!</v>
      </c>
      <c r="U173" s="179">
        <f>'[5]13. Sociálna starostlivosť'!$H$75</f>
        <v>1300</v>
      </c>
      <c r="V173" s="179" t="e">
        <f>'[5]13. Sociálna starostlivosť'!$I$75</f>
        <v>#REF!</v>
      </c>
      <c r="W173" s="188" t="e">
        <f>'[5]13. Sociálna starostlivosť'!$J$75</f>
        <v>#REF!</v>
      </c>
    </row>
    <row r="174" spans="1:23" s="63" customFormat="1" ht="17.25" thickBot="1" x14ac:dyDescent="0.35">
      <c r="A174" s="93"/>
      <c r="B174" s="161" t="s">
        <v>372</v>
      </c>
      <c r="C174" s="162"/>
      <c r="D174" s="163" t="e">
        <f>SUM(E174:G174)</f>
        <v>#REF!</v>
      </c>
      <c r="E174" s="164">
        <v>303254</v>
      </c>
      <c r="F174" s="164" t="e">
        <f>'[5]14. Bývanie'!#REF!</f>
        <v>#REF!</v>
      </c>
      <c r="G174" s="165">
        <v>112360</v>
      </c>
      <c r="H174" s="166">
        <f>SUM(I174:K174)</f>
        <v>423841</v>
      </c>
      <c r="I174" s="167">
        <v>308731</v>
      </c>
      <c r="J174" s="167">
        <v>0</v>
      </c>
      <c r="K174" s="168">
        <v>115110</v>
      </c>
      <c r="L174" s="163" t="e">
        <f>SUM(M174:O174)</f>
        <v>#REF!</v>
      </c>
      <c r="M174" s="164" t="e">
        <f>'[5]14. Bývanie'!#REF!</f>
        <v>#REF!</v>
      </c>
      <c r="N174" s="164" t="e">
        <f>'[5]14. Bývanie'!#REF!</f>
        <v>#REF!</v>
      </c>
      <c r="O174" s="164" t="e">
        <f>'[5]14. Bývanie'!#REF!</f>
        <v>#REF!</v>
      </c>
      <c r="P174" s="243">
        <v>407863.46</v>
      </c>
      <c r="Q174" s="244">
        <v>289949.36</v>
      </c>
      <c r="R174" s="244">
        <v>0</v>
      </c>
      <c r="S174" s="244">
        <v>117914.1</v>
      </c>
      <c r="T174" s="163">
        <f>SUM(U174:W174)</f>
        <v>450923</v>
      </c>
      <c r="U174" s="164">
        <f>'[5]14. Bývanie'!$H$18</f>
        <v>329843</v>
      </c>
      <c r="V174" s="164">
        <f>'[5]14. Bývanie'!$I$18</f>
        <v>0</v>
      </c>
      <c r="W174" s="164">
        <f>'[5]14. Bývanie'!$J$18</f>
        <v>121080</v>
      </c>
    </row>
    <row r="175" spans="1:23" s="63" customFormat="1" ht="14.25" x14ac:dyDescent="0.2">
      <c r="A175" s="93"/>
      <c r="B175" s="154" t="s">
        <v>373</v>
      </c>
      <c r="C175" s="158"/>
      <c r="D175" s="149" t="e">
        <f t="shared" ref="D175:W175" si="80">SUM(D176:D178)</f>
        <v>#REF!</v>
      </c>
      <c r="E175" s="150" t="e">
        <f t="shared" si="80"/>
        <v>#REF!</v>
      </c>
      <c r="F175" s="150" t="e">
        <f t="shared" si="80"/>
        <v>#REF!</v>
      </c>
      <c r="G175" s="151" t="e">
        <f t="shared" si="80"/>
        <v>#REF!</v>
      </c>
      <c r="H175" s="149" t="e">
        <f t="shared" si="80"/>
        <v>#REF!</v>
      </c>
      <c r="I175" s="150">
        <f t="shared" si="80"/>
        <v>1482459.49</v>
      </c>
      <c r="J175" s="150">
        <f t="shared" si="80"/>
        <v>12620.49</v>
      </c>
      <c r="K175" s="152" t="e">
        <f t="shared" si="80"/>
        <v>#REF!</v>
      </c>
      <c r="L175" s="153" t="e">
        <f t="shared" si="80"/>
        <v>#REF!</v>
      </c>
      <c r="M175" s="150" t="e">
        <f t="shared" si="80"/>
        <v>#REF!</v>
      </c>
      <c r="N175" s="150" t="e">
        <f t="shared" si="80"/>
        <v>#REF!</v>
      </c>
      <c r="O175" s="152" t="e">
        <f t="shared" si="80"/>
        <v>#REF!</v>
      </c>
      <c r="P175" s="222">
        <v>1574450.76</v>
      </c>
      <c r="Q175" s="223">
        <v>1574450.76</v>
      </c>
      <c r="R175" s="223">
        <v>0</v>
      </c>
      <c r="S175" s="227">
        <v>0</v>
      </c>
      <c r="T175" s="153" t="e">
        <f t="shared" si="80"/>
        <v>#REF!</v>
      </c>
      <c r="U175" s="150" t="e">
        <f t="shared" si="80"/>
        <v>#REF!</v>
      </c>
      <c r="V175" s="150" t="e">
        <f t="shared" si="80"/>
        <v>#REF!</v>
      </c>
      <c r="W175" s="152" t="e">
        <f t="shared" si="80"/>
        <v>#REF!</v>
      </c>
    </row>
    <row r="176" spans="1:23" x14ac:dyDescent="0.2">
      <c r="B176" s="97"/>
      <c r="C176" s="98" t="s">
        <v>374</v>
      </c>
      <c r="D176" s="72" t="e">
        <f>SUM(E176:G176)</f>
        <v>#REF!</v>
      </c>
      <c r="E176" s="73">
        <v>57145.49</v>
      </c>
      <c r="F176" s="73">
        <v>7954</v>
      </c>
      <c r="G176" s="74" t="e">
        <f>'[5]15. Administratíva'!#REF!</f>
        <v>#REF!</v>
      </c>
      <c r="H176" s="72" t="e">
        <f>SUM(I176:K176)</f>
        <v>#REF!</v>
      </c>
      <c r="I176" s="73">
        <v>245337.49</v>
      </c>
      <c r="J176" s="73">
        <v>12620.49</v>
      </c>
      <c r="K176" s="75" t="e">
        <f>'[5]15. Administratíva'!#REF!</f>
        <v>#REF!</v>
      </c>
      <c r="L176" s="76" t="e">
        <f>SUM(M176:O176)</f>
        <v>#REF!</v>
      </c>
      <c r="M176" s="73" t="e">
        <f>'[5]15. Administratíva'!#REF!</f>
        <v>#REF!</v>
      </c>
      <c r="N176" s="73" t="e">
        <f>'[5]15. Administratíva'!#REF!</f>
        <v>#REF!</v>
      </c>
      <c r="O176" s="75" t="e">
        <f>'[5]15. Administratíva'!#REF!</f>
        <v>#REF!</v>
      </c>
      <c r="P176" s="245">
        <v>441956.04</v>
      </c>
      <c r="Q176" s="217">
        <v>441956.04</v>
      </c>
      <c r="R176" s="217">
        <v>0</v>
      </c>
      <c r="S176" s="218">
        <v>0</v>
      </c>
      <c r="T176" s="76" t="e">
        <f>SUM(U176:W176)</f>
        <v>#REF!</v>
      </c>
      <c r="U176" s="73">
        <f>'[5]15. Administratíva'!$H$89</f>
        <v>1343</v>
      </c>
      <c r="V176" s="73" t="e">
        <f>'[5]15. Administratíva'!$I$89</f>
        <v>#REF!</v>
      </c>
      <c r="W176" s="75" t="e">
        <f>'[5]15. Administratíva'!$J$89</f>
        <v>#REF!</v>
      </c>
    </row>
    <row r="177" spans="1:23" x14ac:dyDescent="0.2">
      <c r="B177" s="97"/>
      <c r="C177" s="98" t="s">
        <v>375</v>
      </c>
      <c r="D177" s="72" t="e">
        <f>SUM(E177:G177)</f>
        <v>#REF!</v>
      </c>
      <c r="E177" s="73" t="e">
        <f>'[5]15. Administratíva'!#REF!</f>
        <v>#REF!</v>
      </c>
      <c r="F177" s="73" t="e">
        <f>'[5]15. Administratíva'!#REF!</f>
        <v>#REF!</v>
      </c>
      <c r="G177" s="74">
        <v>0</v>
      </c>
      <c r="H177" s="72">
        <f>SUM(I177:K177)</f>
        <v>132775</v>
      </c>
      <c r="I177" s="73">
        <v>0</v>
      </c>
      <c r="J177" s="73">
        <v>0</v>
      </c>
      <c r="K177" s="75">
        <v>132775</v>
      </c>
      <c r="L177" s="76" t="e">
        <f>SUM(M177:O177)</f>
        <v>#REF!</v>
      </c>
      <c r="M177" s="73" t="e">
        <f>'[5]15. Administratíva'!#REF!</f>
        <v>#REF!</v>
      </c>
      <c r="N177" s="73" t="e">
        <f>'[5]15. Administratíva'!#REF!</f>
        <v>#REF!</v>
      </c>
      <c r="O177" s="75" t="e">
        <f>'[5]15. Administratíva'!#REF!</f>
        <v>#REF!</v>
      </c>
      <c r="P177" s="245">
        <v>0</v>
      </c>
      <c r="Q177" s="217">
        <v>0</v>
      </c>
      <c r="R177" s="217">
        <v>0</v>
      </c>
      <c r="S177" s="218">
        <v>0</v>
      </c>
      <c r="T177" s="76" t="e">
        <f>SUM(U177:W177)</f>
        <v>#REF!</v>
      </c>
      <c r="U177" s="73" t="e">
        <f>'[5]15. Administratíva'!$H$91</f>
        <v>#REF!</v>
      </c>
      <c r="V177" s="73" t="e">
        <f>'[5]15. Administratíva'!$I$91</f>
        <v>#REF!</v>
      </c>
      <c r="W177" s="75" t="e">
        <f>'[5]15. Administratíva'!$J$91</f>
        <v>#REF!</v>
      </c>
    </row>
    <row r="178" spans="1:23" ht="13.5" thickBot="1" x14ac:dyDescent="0.25">
      <c r="A178" s="85"/>
      <c r="B178" s="99"/>
      <c r="C178" s="100" t="s">
        <v>376</v>
      </c>
      <c r="D178" s="79" t="e">
        <f>SUM(E178:G178)</f>
        <v>#REF!</v>
      </c>
      <c r="E178" s="80">
        <v>1396287.49</v>
      </c>
      <c r="F178" s="80" t="e">
        <f>'[5]15. Administratíva'!#REF!</f>
        <v>#REF!</v>
      </c>
      <c r="G178" s="81" t="e">
        <f>'[5]15. Administratíva'!#REF!</f>
        <v>#REF!</v>
      </c>
      <c r="H178" s="79">
        <f>SUM(I178:K178)</f>
        <v>1237122</v>
      </c>
      <c r="I178" s="80">
        <v>1237122</v>
      </c>
      <c r="J178" s="80">
        <v>0</v>
      </c>
      <c r="K178" s="90">
        <v>0</v>
      </c>
      <c r="L178" s="89" t="e">
        <f>SUM(M178:O178)</f>
        <v>#REF!</v>
      </c>
      <c r="M178" s="80">
        <v>1124957</v>
      </c>
      <c r="N178" s="80" t="e">
        <f>'[5]15. Administratíva'!#REF!</f>
        <v>#REF!</v>
      </c>
      <c r="O178" s="90" t="e">
        <f>'[5]15. Administratíva'!#REF!</f>
        <v>#REF!</v>
      </c>
      <c r="P178" s="246">
        <v>1132494.72</v>
      </c>
      <c r="Q178" s="232">
        <v>1132494.72</v>
      </c>
      <c r="R178" s="232">
        <v>0</v>
      </c>
      <c r="S178" s="233">
        <v>0</v>
      </c>
      <c r="T178" s="89">
        <f>SUM(U178:W178)</f>
        <v>1303806</v>
      </c>
      <c r="U178" s="80">
        <f>'[6]15. Administratíva'!$Q$4</f>
        <v>1303806</v>
      </c>
      <c r="V178" s="80">
        <f>'[5]15. Administratíva'!$I$4</f>
        <v>0</v>
      </c>
      <c r="W178" s="90">
        <f>'[5]15. Administratíva'!$J$4</f>
        <v>0</v>
      </c>
    </row>
    <row r="181" spans="1:23" x14ac:dyDescent="0.2">
      <c r="A181" s="85"/>
    </row>
    <row r="187" spans="1:23" x14ac:dyDescent="0.2">
      <c r="A187" s="85"/>
    </row>
    <row r="188" spans="1:23" x14ac:dyDescent="0.2">
      <c r="A188" s="85"/>
    </row>
    <row r="190" spans="1:23" x14ac:dyDescent="0.2">
      <c r="A190" s="53"/>
    </row>
    <row r="191" spans="1:23" x14ac:dyDescent="0.2">
      <c r="A191" s="53"/>
    </row>
    <row r="192" spans="1:23" x14ac:dyDescent="0.2">
      <c r="A192" s="53"/>
    </row>
    <row r="193" spans="1:1" x14ac:dyDescent="0.2">
      <c r="A193" s="53"/>
    </row>
    <row r="194" spans="1:1" x14ac:dyDescent="0.2">
      <c r="A194" s="53"/>
    </row>
    <row r="195" spans="1:1" x14ac:dyDescent="0.2">
      <c r="A195" s="53"/>
    </row>
    <row r="196" spans="1:1" x14ac:dyDescent="0.2">
      <c r="A196" s="53"/>
    </row>
    <row r="197" spans="1:1" x14ac:dyDescent="0.2">
      <c r="A197" s="85"/>
    </row>
    <row r="210" spans="4:4" x14ac:dyDescent="0.2">
      <c r="D210" s="50"/>
    </row>
    <row r="211" spans="4:4" x14ac:dyDescent="0.2">
      <c r="D211" s="50"/>
    </row>
    <row r="212" spans="4:4" x14ac:dyDescent="0.2">
      <c r="D212" s="50"/>
    </row>
    <row r="213" spans="4:4" x14ac:dyDescent="0.2">
      <c r="D213" s="50"/>
    </row>
    <row r="214" spans="4:4" x14ac:dyDescent="0.2">
      <c r="D214" s="50"/>
    </row>
    <row r="215" spans="4:4" x14ac:dyDescent="0.2">
      <c r="D215" s="50"/>
    </row>
    <row r="216" spans="4:4" x14ac:dyDescent="0.2">
      <c r="D216" s="50"/>
    </row>
    <row r="217" spans="4:4" x14ac:dyDescent="0.2">
      <c r="D217" s="50"/>
    </row>
    <row r="218" spans="4:4" x14ac:dyDescent="0.2">
      <c r="D218" s="50"/>
    </row>
    <row r="219" spans="4:4" x14ac:dyDescent="0.2">
      <c r="D219" s="50"/>
    </row>
    <row r="220" spans="4:4" x14ac:dyDescent="0.2">
      <c r="D220" s="50"/>
    </row>
    <row r="221" spans="4:4" x14ac:dyDescent="0.2">
      <c r="D221" s="50"/>
    </row>
    <row r="222" spans="4:4" x14ac:dyDescent="0.2">
      <c r="D222" s="50"/>
    </row>
    <row r="223" spans="4:4" x14ac:dyDescent="0.2">
      <c r="D223" s="50"/>
    </row>
    <row r="224" spans="4:4" x14ac:dyDescent="0.2">
      <c r="D224" s="50"/>
    </row>
    <row r="225" spans="4:4" x14ac:dyDescent="0.2">
      <c r="D225" s="50"/>
    </row>
    <row r="226" spans="4:4" x14ac:dyDescent="0.2">
      <c r="D226" s="50"/>
    </row>
    <row r="227" spans="4:4" x14ac:dyDescent="0.2">
      <c r="D227" s="50"/>
    </row>
    <row r="228" spans="4:4" x14ac:dyDescent="0.2">
      <c r="D228" s="50"/>
    </row>
    <row r="229" spans="4:4" x14ac:dyDescent="0.2">
      <c r="D229" s="50"/>
    </row>
    <row r="230" spans="4:4" x14ac:dyDescent="0.2">
      <c r="D230" s="50"/>
    </row>
    <row r="231" spans="4:4" x14ac:dyDescent="0.2">
      <c r="D231" s="50"/>
    </row>
    <row r="232" spans="4:4" x14ac:dyDescent="0.2">
      <c r="D232" s="50"/>
    </row>
    <row r="233" spans="4:4" x14ac:dyDescent="0.2">
      <c r="D233" s="50"/>
    </row>
    <row r="234" spans="4:4" x14ac:dyDescent="0.2">
      <c r="D234" s="50"/>
    </row>
    <row r="235" spans="4:4" x14ac:dyDescent="0.2">
      <c r="D235" s="50"/>
    </row>
    <row r="236" spans="4:4" x14ac:dyDescent="0.2">
      <c r="D236" s="50"/>
    </row>
    <row r="237" spans="4:4" x14ac:dyDescent="0.2">
      <c r="D237" s="50"/>
    </row>
    <row r="238" spans="4:4" x14ac:dyDescent="0.2">
      <c r="D238" s="50"/>
    </row>
    <row r="239" spans="4:4" x14ac:dyDescent="0.2">
      <c r="D239" s="50"/>
    </row>
    <row r="240" spans="4:4" x14ac:dyDescent="0.2">
      <c r="D240" s="50"/>
    </row>
    <row r="241" spans="4:4" x14ac:dyDescent="0.2">
      <c r="D241" s="50"/>
    </row>
    <row r="242" spans="4:4" x14ac:dyDescent="0.2">
      <c r="D242" s="50"/>
    </row>
    <row r="243" spans="4:4" x14ac:dyDescent="0.2">
      <c r="D243" s="50"/>
    </row>
    <row r="244" spans="4:4" x14ac:dyDescent="0.2">
      <c r="D244" s="50"/>
    </row>
    <row r="245" spans="4:4" x14ac:dyDescent="0.2">
      <c r="D245" s="50"/>
    </row>
    <row r="246" spans="4:4" x14ac:dyDescent="0.2">
      <c r="D246" s="50"/>
    </row>
    <row r="247" spans="4:4" x14ac:dyDescent="0.2">
      <c r="D247" s="50"/>
    </row>
    <row r="248" spans="4:4" x14ac:dyDescent="0.2">
      <c r="D248" s="50"/>
    </row>
    <row r="249" spans="4:4" x14ac:dyDescent="0.2">
      <c r="D249" s="50"/>
    </row>
    <row r="250" spans="4:4" x14ac:dyDescent="0.2">
      <c r="D250" s="50"/>
    </row>
    <row r="251" spans="4:4" x14ac:dyDescent="0.2">
      <c r="D251" s="50"/>
    </row>
    <row r="252" spans="4:4" x14ac:dyDescent="0.2">
      <c r="D252" s="50"/>
    </row>
    <row r="253" spans="4:4" x14ac:dyDescent="0.2">
      <c r="D253" s="50"/>
    </row>
    <row r="254" spans="4:4" x14ac:dyDescent="0.2">
      <c r="D254" s="50"/>
    </row>
    <row r="255" spans="4:4" x14ac:dyDescent="0.2">
      <c r="D255" s="50"/>
    </row>
    <row r="256" spans="4:4" x14ac:dyDescent="0.2">
      <c r="D256" s="50"/>
    </row>
    <row r="257" spans="4:4" x14ac:dyDescent="0.2">
      <c r="D257" s="50"/>
    </row>
    <row r="258" spans="4:4" x14ac:dyDescent="0.2">
      <c r="D258" s="50"/>
    </row>
    <row r="259" spans="4:4" x14ac:dyDescent="0.2">
      <c r="D259" s="50"/>
    </row>
    <row r="260" spans="4:4" x14ac:dyDescent="0.2">
      <c r="D260" s="50"/>
    </row>
    <row r="261" spans="4:4" x14ac:dyDescent="0.2">
      <c r="D261" s="50"/>
    </row>
    <row r="262" spans="4:4" x14ac:dyDescent="0.2">
      <c r="D262" s="50"/>
    </row>
    <row r="263" spans="4:4" x14ac:dyDescent="0.2">
      <c r="D263" s="50"/>
    </row>
    <row r="264" spans="4:4" x14ac:dyDescent="0.2">
      <c r="D264" s="50"/>
    </row>
    <row r="265" spans="4:4" x14ac:dyDescent="0.2">
      <c r="D265" s="50"/>
    </row>
    <row r="266" spans="4:4" x14ac:dyDescent="0.2">
      <c r="D266" s="50"/>
    </row>
    <row r="267" spans="4:4" x14ac:dyDescent="0.2">
      <c r="D267" s="50"/>
    </row>
    <row r="268" spans="4:4" x14ac:dyDescent="0.2">
      <c r="D268" s="50"/>
    </row>
    <row r="269" spans="4:4" x14ac:dyDescent="0.2">
      <c r="D269" s="50"/>
    </row>
    <row r="270" spans="4:4" x14ac:dyDescent="0.2">
      <c r="D270" s="50"/>
    </row>
    <row r="271" spans="4:4" x14ac:dyDescent="0.2">
      <c r="D271" s="50"/>
    </row>
    <row r="272" spans="4:4" x14ac:dyDescent="0.2">
      <c r="D272" s="50"/>
    </row>
    <row r="273" spans="4:4" x14ac:dyDescent="0.2">
      <c r="D273" s="50"/>
    </row>
    <row r="274" spans="4:4" x14ac:dyDescent="0.2">
      <c r="D274" s="50"/>
    </row>
    <row r="275" spans="4:4" x14ac:dyDescent="0.2">
      <c r="D275" s="50"/>
    </row>
    <row r="276" spans="4:4" x14ac:dyDescent="0.2">
      <c r="D276" s="50"/>
    </row>
    <row r="277" spans="4:4" x14ac:dyDescent="0.2">
      <c r="D277" s="50"/>
    </row>
    <row r="278" spans="4:4" x14ac:dyDescent="0.2">
      <c r="D278" s="50"/>
    </row>
    <row r="279" spans="4:4" x14ac:dyDescent="0.2">
      <c r="D279" s="50"/>
    </row>
    <row r="280" spans="4:4" x14ac:dyDescent="0.2">
      <c r="D280" s="50"/>
    </row>
    <row r="281" spans="4:4" x14ac:dyDescent="0.2">
      <c r="D281" s="50"/>
    </row>
    <row r="282" spans="4:4" x14ac:dyDescent="0.2">
      <c r="D282" s="50"/>
    </row>
    <row r="283" spans="4:4" x14ac:dyDescent="0.2">
      <c r="D283" s="50"/>
    </row>
    <row r="284" spans="4:4" x14ac:dyDescent="0.2">
      <c r="D284" s="50"/>
    </row>
    <row r="285" spans="4:4" x14ac:dyDescent="0.2">
      <c r="D285" s="50"/>
    </row>
    <row r="286" spans="4:4" x14ac:dyDescent="0.2">
      <c r="D286" s="50"/>
    </row>
    <row r="287" spans="4:4" x14ac:dyDescent="0.2">
      <c r="D287" s="50"/>
    </row>
    <row r="288" spans="4:4" x14ac:dyDescent="0.2">
      <c r="D288" s="50"/>
    </row>
    <row r="289" spans="4:4" x14ac:dyDescent="0.2">
      <c r="D289" s="50"/>
    </row>
    <row r="290" spans="4:4" x14ac:dyDescent="0.2">
      <c r="D290" s="50"/>
    </row>
    <row r="291" spans="4:4" x14ac:dyDescent="0.2">
      <c r="D291" s="50"/>
    </row>
    <row r="292" spans="4:4" x14ac:dyDescent="0.2">
      <c r="D292" s="50"/>
    </row>
    <row r="293" spans="4:4" x14ac:dyDescent="0.2">
      <c r="D293" s="50"/>
    </row>
    <row r="294" spans="4:4" x14ac:dyDescent="0.2">
      <c r="D294" s="50"/>
    </row>
    <row r="295" spans="4:4" x14ac:dyDescent="0.2">
      <c r="D295" s="50"/>
    </row>
    <row r="296" spans="4:4" x14ac:dyDescent="0.2">
      <c r="D296" s="50"/>
    </row>
    <row r="297" spans="4:4" x14ac:dyDescent="0.2">
      <c r="D297" s="50"/>
    </row>
    <row r="298" spans="4:4" x14ac:dyDescent="0.2">
      <c r="D298" s="50"/>
    </row>
    <row r="299" spans="4:4" x14ac:dyDescent="0.2">
      <c r="D299" s="50"/>
    </row>
    <row r="300" spans="4:4" x14ac:dyDescent="0.2">
      <c r="D300" s="50"/>
    </row>
    <row r="301" spans="4:4" x14ac:dyDescent="0.2">
      <c r="D301" s="50"/>
    </row>
    <row r="302" spans="4:4" x14ac:dyDescent="0.2">
      <c r="D302" s="50"/>
    </row>
    <row r="303" spans="4:4" x14ac:dyDescent="0.2">
      <c r="D303" s="50"/>
    </row>
    <row r="304" spans="4:4" x14ac:dyDescent="0.2">
      <c r="D304" s="50"/>
    </row>
    <row r="305" spans="4:4" x14ac:dyDescent="0.2">
      <c r="D305" s="50"/>
    </row>
    <row r="306" spans="4:4" x14ac:dyDescent="0.2">
      <c r="D306" s="50"/>
    </row>
  </sheetData>
  <sheetProtection selectLockedCells="1" selectUnlockedCells="1"/>
  <mergeCells count="11">
    <mergeCell ref="P5:S5"/>
    <mergeCell ref="Q6:S6"/>
    <mergeCell ref="T5:W5"/>
    <mergeCell ref="U6:W6"/>
    <mergeCell ref="B6:C7"/>
    <mergeCell ref="E6:G6"/>
    <mergeCell ref="I6:K6"/>
    <mergeCell ref="M6:O6"/>
    <mergeCell ref="D5:G5"/>
    <mergeCell ref="H5:K5"/>
    <mergeCell ref="L5:O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44" firstPageNumber="0" fitToHeight="0" orientation="landscape" horizontalDpi="300" verticalDpi="300" r:id="rId1"/>
  <headerFooter alignWithMargins="0">
    <oddFooter>&amp;CStránka &amp;P&amp;R&amp;A</oddFooter>
  </headerFooter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8"/>
  <sheetViews>
    <sheetView workbookViewId="0">
      <selection sqref="A1:F1"/>
    </sheetView>
  </sheetViews>
  <sheetFormatPr defaultColWidth="19.42578125" defaultRowHeight="12.75" x14ac:dyDescent="0.2"/>
  <cols>
    <col min="1" max="1" width="34.28515625" style="101" customWidth="1"/>
    <col min="2" max="3" width="18.7109375" style="101" customWidth="1"/>
    <col min="4" max="4" width="19.42578125" style="102"/>
    <col min="5" max="5" width="24.42578125" style="102" bestFit="1" customWidth="1"/>
    <col min="6" max="6" width="24.5703125" style="102" customWidth="1"/>
    <col min="7" max="252" width="9.140625" style="101" customWidth="1"/>
    <col min="253" max="253" width="34.28515625" style="101" customWidth="1"/>
    <col min="254" max="255" width="18.7109375" style="101" customWidth="1"/>
    <col min="256" max="16384" width="19.42578125" style="101"/>
  </cols>
  <sheetData>
    <row r="1" spans="1:6" ht="15.75" customHeight="1" x14ac:dyDescent="0.25">
      <c r="A1" s="851" t="s">
        <v>392</v>
      </c>
      <c r="B1" s="851"/>
      <c r="C1" s="851"/>
      <c r="D1" s="851"/>
      <c r="E1" s="851"/>
      <c r="F1" s="851"/>
    </row>
    <row r="3" spans="1:6" x14ac:dyDescent="0.2">
      <c r="A3" s="103"/>
      <c r="B3" s="104" t="s">
        <v>0</v>
      </c>
      <c r="C3" s="104" t="s">
        <v>1</v>
      </c>
      <c r="D3" s="104" t="s">
        <v>2</v>
      </c>
      <c r="E3" s="104" t="s">
        <v>391</v>
      </c>
      <c r="F3" s="104" t="s">
        <v>387</v>
      </c>
    </row>
    <row r="4" spans="1:6" ht="15.75" x14ac:dyDescent="0.25">
      <c r="A4" s="105" t="s">
        <v>377</v>
      </c>
      <c r="B4" s="106">
        <f>'pomocná tabuľka - príjmy 2013'!B3</f>
        <v>10611235.030000001</v>
      </c>
      <c r="C4" s="106">
        <f>'pomocná tabuľka - príjmy 2013'!C3</f>
        <v>10916798.300000001</v>
      </c>
      <c r="D4" s="107">
        <f>'pomocná tabuľka - príjmy 2013'!D3</f>
        <v>11688460</v>
      </c>
      <c r="E4" s="107">
        <f>'pomocná tabuľka - príjmy 2013'!E3</f>
        <v>11192555</v>
      </c>
      <c r="F4" s="107">
        <f>'pomocná tabuľka - príjmy 2013'!F3</f>
        <v>11690737</v>
      </c>
    </row>
    <row r="5" spans="1:6" ht="15.75" x14ac:dyDescent="0.25">
      <c r="A5" s="105" t="s">
        <v>378</v>
      </c>
      <c r="B5" s="106" t="e">
        <f>'pomocná tabuľka - výdavky 2013'!E8</f>
        <v>#REF!</v>
      </c>
      <c r="C5" s="106">
        <v>10615926</v>
      </c>
      <c r="D5" s="107" t="e">
        <f>'pomocná tabuľka - výdavky 2013'!M8</f>
        <v>#REF!</v>
      </c>
      <c r="E5" s="107">
        <f>'pomocná tabuľka - výdavky 2013'!Q8</f>
        <v>10730799.140000001</v>
      </c>
      <c r="F5" s="107" t="e">
        <f>'pomocná tabuľka - výdavky 2013'!U8</f>
        <v>#REF!</v>
      </c>
    </row>
    <row r="6" spans="1:6" ht="15.75" x14ac:dyDescent="0.25">
      <c r="A6" s="105" t="s">
        <v>379</v>
      </c>
      <c r="B6" s="106" t="e">
        <f>B4-B5</f>
        <v>#REF!</v>
      </c>
      <c r="C6" s="106">
        <f>C4-C5</f>
        <v>300872.30000000075</v>
      </c>
      <c r="D6" s="107" t="e">
        <f>D4-D5</f>
        <v>#REF!</v>
      </c>
      <c r="E6" s="107">
        <f>E4-E5</f>
        <v>461755.8599999994</v>
      </c>
      <c r="F6" s="107" t="e">
        <f>F4-F5</f>
        <v>#REF!</v>
      </c>
    </row>
    <row r="7" spans="1:6" ht="15.75" x14ac:dyDescent="0.25">
      <c r="A7" s="105"/>
      <c r="B7" s="106"/>
      <c r="C7" s="106"/>
      <c r="D7" s="107"/>
      <c r="E7" s="107"/>
      <c r="F7" s="107"/>
    </row>
    <row r="8" spans="1:6" ht="15.75" x14ac:dyDescent="0.25">
      <c r="A8" s="105" t="s">
        <v>380</v>
      </c>
      <c r="B8" s="106">
        <f>'pomocná tabuľka - príjmy 2013'!B112</f>
        <v>761844.80999999994</v>
      </c>
      <c r="C8" s="106">
        <f>'pomocná tabuľka - príjmy 2013'!C112</f>
        <v>828632.72</v>
      </c>
      <c r="D8" s="107">
        <f>'pomocná tabuľka - príjmy 2013'!D112</f>
        <v>3640369</v>
      </c>
      <c r="E8" s="107">
        <f>'pomocná tabuľka - príjmy 2013'!E112</f>
        <v>735941</v>
      </c>
      <c r="F8" s="107">
        <f>'pomocná tabuľka - príjmy 2013'!F112</f>
        <v>4291701</v>
      </c>
    </row>
    <row r="9" spans="1:6" ht="15.75" x14ac:dyDescent="0.25">
      <c r="A9" s="105" t="s">
        <v>381</v>
      </c>
      <c r="B9" s="106">
        <v>1349332</v>
      </c>
      <c r="C9" s="106">
        <v>785108</v>
      </c>
      <c r="D9" s="107" t="e">
        <f>'pomocná tabuľka - výdavky 2013'!N8</f>
        <v>#REF!</v>
      </c>
      <c r="E9" s="107">
        <f>'pomocná tabuľka - výdavky 2013'!R8</f>
        <v>957999</v>
      </c>
      <c r="F9" s="107" t="e">
        <f>'pomocná tabuľka - výdavky 2013'!V8</f>
        <v>#REF!</v>
      </c>
    </row>
    <row r="10" spans="1:6" ht="15.75" x14ac:dyDescent="0.25">
      <c r="A10" s="105" t="s">
        <v>379</v>
      </c>
      <c r="B10" s="106">
        <f>B8-B9</f>
        <v>-587487.19000000006</v>
      </c>
      <c r="C10" s="106">
        <f>C8-C9</f>
        <v>43524.719999999972</v>
      </c>
      <c r="D10" s="107" t="e">
        <f>D8-D9</f>
        <v>#REF!</v>
      </c>
      <c r="E10" s="107">
        <f>E8-E9</f>
        <v>-222058</v>
      </c>
      <c r="F10" s="107" t="e">
        <f>F8-F9</f>
        <v>#REF!</v>
      </c>
    </row>
    <row r="11" spans="1:6" ht="15.75" x14ac:dyDescent="0.25">
      <c r="A11" s="105"/>
      <c r="B11" s="106"/>
      <c r="C11" s="106"/>
      <c r="D11" s="107"/>
      <c r="E11" s="107"/>
      <c r="F11" s="107"/>
    </row>
    <row r="12" spans="1:6" ht="15.75" x14ac:dyDescent="0.25">
      <c r="A12" s="105" t="s">
        <v>127</v>
      </c>
      <c r="B12" s="106">
        <f>'pomocná tabuľka - príjmy 2013'!B129</f>
        <v>1094060.6099999999</v>
      </c>
      <c r="C12" s="106">
        <f>'pomocná tabuľka - príjmy 2013'!C129</f>
        <v>353398.41</v>
      </c>
      <c r="D12" s="107">
        <f>'pomocná tabuľka - príjmy 2013'!D129</f>
        <v>574727</v>
      </c>
      <c r="E12" s="107">
        <f>'pomocná tabuľka - príjmy 2013'!E129</f>
        <v>574727</v>
      </c>
      <c r="F12" s="107">
        <f>'pomocná tabuľka - príjmy 2013'!F129</f>
        <v>476000</v>
      </c>
    </row>
    <row r="13" spans="1:6" ht="15.75" x14ac:dyDescent="0.25">
      <c r="A13" s="105" t="s">
        <v>382</v>
      </c>
      <c r="B13" s="106">
        <v>320596</v>
      </c>
      <c r="C13" s="106" t="e">
        <f>'pomocná tabuľka - výdavky 2013'!K8</f>
        <v>#REF!</v>
      </c>
      <c r="D13" s="107" t="e">
        <f>'pomocná tabuľka - výdavky 2013'!O8</f>
        <v>#REF!</v>
      </c>
      <c r="E13" s="107">
        <f>'pomocná tabuľka - výdavky 2013'!S8</f>
        <v>654683.57999999996</v>
      </c>
      <c r="F13" s="107" t="e">
        <f>'pomocná tabuľka - výdavky 2013'!W8</f>
        <v>#REF!</v>
      </c>
    </row>
    <row r="14" spans="1:6" ht="15.75" x14ac:dyDescent="0.25">
      <c r="A14" s="108" t="s">
        <v>379</v>
      </c>
      <c r="B14" s="109">
        <f>B12-B13</f>
        <v>773464.60999999987</v>
      </c>
      <c r="C14" s="109" t="e">
        <f>C12-C13</f>
        <v>#REF!</v>
      </c>
      <c r="D14" s="110" t="e">
        <f>D12-D13</f>
        <v>#REF!</v>
      </c>
      <c r="E14" s="110">
        <f>E12-E13</f>
        <v>-79956.579999999958</v>
      </c>
      <c r="F14" s="110" t="e">
        <f>F12-F13</f>
        <v>#REF!</v>
      </c>
    </row>
    <row r="15" spans="1:6" x14ac:dyDescent="0.2">
      <c r="A15" s="111"/>
      <c r="B15" s="102"/>
      <c r="C15" s="102"/>
    </row>
    <row r="16" spans="1:6" ht="18" x14ac:dyDescent="0.25">
      <c r="A16" s="112" t="s">
        <v>130</v>
      </c>
      <c r="B16" s="113">
        <f t="shared" ref="B16:D17" si="0">B4+B8+B12</f>
        <v>12467140.450000001</v>
      </c>
      <c r="C16" s="113">
        <f t="shared" si="0"/>
        <v>12098829.430000002</v>
      </c>
      <c r="D16" s="114">
        <f t="shared" si="0"/>
        <v>15903556</v>
      </c>
      <c r="E16" s="114">
        <f>E4+E8+E12</f>
        <v>12503223</v>
      </c>
      <c r="F16" s="114">
        <f>F4+F8+F12</f>
        <v>16458438</v>
      </c>
    </row>
    <row r="17" spans="1:6" ht="18" x14ac:dyDescent="0.25">
      <c r="A17" s="115" t="s">
        <v>383</v>
      </c>
      <c r="B17" s="116" t="e">
        <f t="shared" si="0"/>
        <v>#REF!</v>
      </c>
      <c r="C17" s="116" t="e">
        <f t="shared" si="0"/>
        <v>#REF!</v>
      </c>
      <c r="D17" s="117" t="e">
        <f t="shared" si="0"/>
        <v>#REF!</v>
      </c>
      <c r="E17" s="117">
        <f>E5+E9+E13</f>
        <v>12343481.720000001</v>
      </c>
      <c r="F17" s="117" t="e">
        <f>F5+F9+F13</f>
        <v>#REF!</v>
      </c>
    </row>
    <row r="18" spans="1:6" ht="18" x14ac:dyDescent="0.25">
      <c r="A18" s="118" t="s">
        <v>384</v>
      </c>
      <c r="B18" s="119" t="e">
        <f>B16-B17</f>
        <v>#REF!</v>
      </c>
      <c r="C18" s="119" t="e">
        <f>C16-C17</f>
        <v>#REF!</v>
      </c>
      <c r="D18" s="120" t="e">
        <f>D16-D17</f>
        <v>#REF!</v>
      </c>
      <c r="E18" s="120">
        <f>E16-E17</f>
        <v>159741.27999999933</v>
      </c>
      <c r="F18" s="120" t="e">
        <f>F16-F17</f>
        <v>#REF!</v>
      </c>
    </row>
  </sheetData>
  <sheetProtection selectLockedCells="1" selectUnlockedCells="1"/>
  <mergeCells count="1">
    <mergeCell ref="A1:F1"/>
  </mergeCells>
  <phoneticPr fontId="0" type="noConversion"/>
  <pageMargins left="0.78749999999999998" right="0.78749999999999998" top="0.98402777777777772" bottom="0.98402777777777772" header="0.51180555555555551" footer="0.51180555555555551"/>
  <pageSetup paperSize="9" scale="91" firstPageNumber="0" fitToHeight="0" orientation="landscape" horizontalDpi="300" verticalDpi="300" r:id="rId1"/>
  <headerFooter alignWithMargins="0"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9"/>
  <sheetViews>
    <sheetView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31" sqref="H31"/>
    </sheetView>
  </sheetViews>
  <sheetFormatPr defaultColWidth="34.28515625" defaultRowHeight="12.75" x14ac:dyDescent="0.2"/>
  <cols>
    <col min="1" max="1" width="59.42578125" style="101" bestFit="1" customWidth="1"/>
    <col min="2" max="3" width="22.140625" style="101" customWidth="1"/>
    <col min="4" max="5" width="22.140625" style="102" customWidth="1"/>
    <col min="6" max="6" width="22.140625" style="352" customWidth="1"/>
    <col min="7" max="8" width="22.140625" style="102" customWidth="1"/>
    <col min="9" max="9" width="15.5703125" style="600" customWidth="1"/>
    <col min="10" max="16" width="15.5703125" style="101" customWidth="1"/>
    <col min="17" max="249" width="9.140625" style="101" customWidth="1"/>
    <col min="250" max="16384" width="34.28515625" style="101"/>
  </cols>
  <sheetData>
    <row r="1" spans="1:8" ht="20.25" x14ac:dyDescent="0.3">
      <c r="A1" s="854" t="s">
        <v>750</v>
      </c>
      <c r="B1" s="854"/>
      <c r="C1" s="854"/>
      <c r="D1" s="854"/>
      <c r="E1" s="854"/>
      <c r="F1" s="854"/>
      <c r="G1" s="854"/>
      <c r="H1" s="854"/>
    </row>
    <row r="2" spans="1:8" ht="13.5" thickBot="1" x14ac:dyDescent="0.25"/>
    <row r="3" spans="1:8" ht="57" customHeight="1" thickBot="1" x14ac:dyDescent="0.3">
      <c r="A3" s="336" t="s">
        <v>401</v>
      </c>
      <c r="B3" s="409" t="s">
        <v>625</v>
      </c>
      <c r="C3" s="409" t="s">
        <v>639</v>
      </c>
      <c r="D3" s="337" t="s">
        <v>654</v>
      </c>
      <c r="E3" s="251" t="s">
        <v>723</v>
      </c>
      <c r="F3" s="409" t="s">
        <v>655</v>
      </c>
      <c r="G3" s="337" t="s">
        <v>725</v>
      </c>
      <c r="H3" s="337" t="s">
        <v>726</v>
      </c>
    </row>
    <row r="4" spans="1:8" ht="20.25" customHeight="1" x14ac:dyDescent="0.25">
      <c r="A4" s="334" t="s">
        <v>402</v>
      </c>
      <c r="B4" s="410">
        <f>'príjmy '!B3</f>
        <v>26547660.909999996</v>
      </c>
      <c r="C4" s="410">
        <f>'príjmy '!C3</f>
        <v>28470275.990000002</v>
      </c>
      <c r="D4" s="335">
        <f>'príjmy '!D3</f>
        <v>30986180</v>
      </c>
      <c r="E4" s="335">
        <f>'príjmy '!E3</f>
        <v>31100980</v>
      </c>
      <c r="F4" s="410">
        <f>'príjmy '!F3</f>
        <v>10966803.09</v>
      </c>
      <c r="G4" s="335">
        <f>'príjmy '!G3</f>
        <v>172079</v>
      </c>
      <c r="H4" s="335">
        <f>'príjmy '!H3</f>
        <v>31273059</v>
      </c>
    </row>
    <row r="5" spans="1:8" ht="21.75" customHeight="1" x14ac:dyDescent="0.25">
      <c r="A5" s="105" t="s">
        <v>403</v>
      </c>
      <c r="B5" s="411">
        <f>'výdavky '!E6</f>
        <v>25714704.720000003</v>
      </c>
      <c r="C5" s="411">
        <f>'výdavky '!I6</f>
        <v>27522208.229999997</v>
      </c>
      <c r="D5" s="117">
        <f>'výdavky '!M6</f>
        <v>30612850</v>
      </c>
      <c r="E5" s="117">
        <f>'výdavky '!Q6</f>
        <v>31035116</v>
      </c>
      <c r="F5" s="411">
        <f>'výdavky '!U6</f>
        <v>9565983.6600000001</v>
      </c>
      <c r="G5" s="117">
        <f>'výdavky '!Y6</f>
        <v>-36521</v>
      </c>
      <c r="H5" s="117">
        <f>'výdavky '!AC6</f>
        <v>30998595</v>
      </c>
    </row>
    <row r="6" spans="1:8" ht="21" customHeight="1" x14ac:dyDescent="0.25">
      <c r="A6" s="105" t="s">
        <v>379</v>
      </c>
      <c r="B6" s="411">
        <f t="shared" ref="B6:H6" si="0">B4-B5</f>
        <v>832956.18999999389</v>
      </c>
      <c r="C6" s="411">
        <f t="shared" si="0"/>
        <v>948067.76000000536</v>
      </c>
      <c r="D6" s="117">
        <f t="shared" si="0"/>
        <v>373330</v>
      </c>
      <c r="E6" s="117">
        <f t="shared" si="0"/>
        <v>65864</v>
      </c>
      <c r="F6" s="411">
        <f t="shared" si="0"/>
        <v>1400819.4299999997</v>
      </c>
      <c r="G6" s="117">
        <f t="shared" si="0"/>
        <v>208600</v>
      </c>
      <c r="H6" s="117">
        <f t="shared" si="0"/>
        <v>274464</v>
      </c>
    </row>
    <row r="7" spans="1:8" ht="18" x14ac:dyDescent="0.25">
      <c r="A7" s="105"/>
      <c r="B7" s="411"/>
      <c r="C7" s="411"/>
      <c r="D7" s="117"/>
      <c r="E7" s="117"/>
      <c r="F7" s="411"/>
      <c r="G7" s="117"/>
      <c r="H7" s="117"/>
    </row>
    <row r="8" spans="1:8" ht="21.75" customHeight="1" x14ac:dyDescent="0.25">
      <c r="A8" s="105" t="s">
        <v>396</v>
      </c>
      <c r="B8" s="411">
        <f>'príjmy '!B107</f>
        <v>2775376.4699999997</v>
      </c>
      <c r="C8" s="411">
        <f>'príjmy '!C107</f>
        <v>3046848.8699999996</v>
      </c>
      <c r="D8" s="117">
        <f>'príjmy '!D107</f>
        <v>4464200</v>
      </c>
      <c r="E8" s="117">
        <f>'príjmy '!E107</f>
        <v>5158200</v>
      </c>
      <c r="F8" s="411">
        <f>'príjmy '!F107</f>
        <v>1685747.81</v>
      </c>
      <c r="G8" s="117">
        <f>'príjmy '!G107</f>
        <v>-444359</v>
      </c>
      <c r="H8" s="117">
        <f>'príjmy '!H107</f>
        <v>4713841</v>
      </c>
    </row>
    <row r="9" spans="1:8" ht="21" customHeight="1" x14ac:dyDescent="0.25">
      <c r="A9" s="105" t="s">
        <v>397</v>
      </c>
      <c r="B9" s="411">
        <f>'výdavky '!F6</f>
        <v>2085674.76</v>
      </c>
      <c r="C9" s="411">
        <f>'výdavky '!J6</f>
        <v>3462597.8699999996</v>
      </c>
      <c r="D9" s="117">
        <f>'výdavky '!N6</f>
        <v>7499180</v>
      </c>
      <c r="E9" s="117">
        <f>'výdavky '!R6</f>
        <v>8332029</v>
      </c>
      <c r="F9" s="411">
        <f>'výdavky '!V6</f>
        <v>1728855.25</v>
      </c>
      <c r="G9" s="117">
        <f>'výdavky '!Z6</f>
        <v>-409059</v>
      </c>
      <c r="H9" s="117">
        <f>'výdavky '!AD6</f>
        <v>7922970</v>
      </c>
    </row>
    <row r="10" spans="1:8" ht="21.75" customHeight="1" x14ac:dyDescent="0.25">
      <c r="A10" s="105" t="s">
        <v>379</v>
      </c>
      <c r="B10" s="411">
        <f t="shared" ref="B10:H10" si="1">B8-B9</f>
        <v>689701.70999999973</v>
      </c>
      <c r="C10" s="411">
        <f t="shared" si="1"/>
        <v>-415749</v>
      </c>
      <c r="D10" s="117">
        <f t="shared" si="1"/>
        <v>-3034980</v>
      </c>
      <c r="E10" s="117">
        <f t="shared" si="1"/>
        <v>-3173829</v>
      </c>
      <c r="F10" s="411">
        <f t="shared" si="1"/>
        <v>-43107.439999999944</v>
      </c>
      <c r="G10" s="117">
        <f t="shared" si="1"/>
        <v>-35300</v>
      </c>
      <c r="H10" s="117">
        <f t="shared" si="1"/>
        <v>-3209129</v>
      </c>
    </row>
    <row r="11" spans="1:8" ht="18" x14ac:dyDescent="0.25">
      <c r="A11" s="105"/>
      <c r="B11" s="411"/>
      <c r="C11" s="411"/>
      <c r="D11" s="117"/>
      <c r="E11" s="117"/>
      <c r="F11" s="411"/>
      <c r="G11" s="117"/>
      <c r="H11" s="117"/>
    </row>
    <row r="12" spans="1:8" ht="22.5" customHeight="1" x14ac:dyDescent="0.25">
      <c r="A12" s="105" t="s">
        <v>398</v>
      </c>
      <c r="B12" s="411">
        <f>'príjmy '!B132</f>
        <v>4487096.21</v>
      </c>
      <c r="C12" s="411">
        <f>'príjmy '!C132</f>
        <v>828241.21000000008</v>
      </c>
      <c r="D12" s="117">
        <f>'príjmy '!D132</f>
        <v>3975000</v>
      </c>
      <c r="E12" s="117">
        <f>'príjmy '!E132</f>
        <v>4421315</v>
      </c>
      <c r="F12" s="411">
        <f>'príjmy '!F132</f>
        <v>405492.29000000004</v>
      </c>
      <c r="G12" s="117">
        <f>'príjmy '!G132</f>
        <v>-173300</v>
      </c>
      <c r="H12" s="117">
        <f>'príjmy '!H132</f>
        <v>4248015</v>
      </c>
    </row>
    <row r="13" spans="1:8" ht="22.5" customHeight="1" x14ac:dyDescent="0.25">
      <c r="A13" s="105" t="s">
        <v>399</v>
      </c>
      <c r="B13" s="411">
        <f>'výdavky '!G6</f>
        <v>5218310.91</v>
      </c>
      <c r="C13" s="411">
        <f>'výdavky '!K6</f>
        <v>786539.02</v>
      </c>
      <c r="D13" s="117">
        <f>'výdavky '!O6</f>
        <v>1313350</v>
      </c>
      <c r="E13" s="117">
        <f>'výdavky '!S6</f>
        <v>1313350</v>
      </c>
      <c r="F13" s="411">
        <f>'výdavky '!W6</f>
        <v>319493.66000000003</v>
      </c>
      <c r="G13" s="117">
        <f>'výdavky '!AA6</f>
        <v>0</v>
      </c>
      <c r="H13" s="117">
        <f>'výdavky '!AE6</f>
        <v>1313350</v>
      </c>
    </row>
    <row r="14" spans="1:8" ht="18.75" thickBot="1" x14ac:dyDescent="0.3">
      <c r="A14" s="108" t="s">
        <v>379</v>
      </c>
      <c r="B14" s="412">
        <f t="shared" ref="B14:H14" si="2">B12-B13</f>
        <v>-731214.70000000019</v>
      </c>
      <c r="C14" s="412">
        <f t="shared" si="2"/>
        <v>41702.190000000061</v>
      </c>
      <c r="D14" s="120">
        <f t="shared" si="2"/>
        <v>2661650</v>
      </c>
      <c r="E14" s="120">
        <f t="shared" si="2"/>
        <v>3107965</v>
      </c>
      <c r="F14" s="412">
        <f t="shared" si="2"/>
        <v>85998.63</v>
      </c>
      <c r="G14" s="120">
        <f t="shared" si="2"/>
        <v>-173300</v>
      </c>
      <c r="H14" s="120">
        <f t="shared" si="2"/>
        <v>2934665</v>
      </c>
    </row>
    <row r="15" spans="1:8" ht="13.5" thickBot="1" x14ac:dyDescent="0.25">
      <c r="A15" s="111"/>
      <c r="B15" s="352"/>
      <c r="C15" s="352"/>
    </row>
    <row r="16" spans="1:8" ht="22.5" customHeight="1" x14ac:dyDescent="0.3">
      <c r="A16" s="255" t="s">
        <v>130</v>
      </c>
      <c r="B16" s="413">
        <f t="shared" ref="B16:H16" si="3">B4+B8+B12</f>
        <v>33810133.589999996</v>
      </c>
      <c r="C16" s="413">
        <f t="shared" si="3"/>
        <v>32345366.070000004</v>
      </c>
      <c r="D16" s="257">
        <f t="shared" si="3"/>
        <v>39425380</v>
      </c>
      <c r="E16" s="257">
        <f t="shared" si="3"/>
        <v>40680495</v>
      </c>
      <c r="F16" s="413">
        <f t="shared" si="3"/>
        <v>13058043.190000001</v>
      </c>
      <c r="G16" s="257">
        <f t="shared" si="3"/>
        <v>-445580</v>
      </c>
      <c r="H16" s="257">
        <f t="shared" si="3"/>
        <v>40234915</v>
      </c>
    </row>
    <row r="17" spans="1:8" ht="27.75" customHeight="1" thickBot="1" x14ac:dyDescent="0.35">
      <c r="A17" s="330" t="s">
        <v>383</v>
      </c>
      <c r="B17" s="414">
        <f t="shared" ref="B17:H17" si="4">B5+B9+B13</f>
        <v>33018690.390000004</v>
      </c>
      <c r="C17" s="414">
        <f t="shared" si="4"/>
        <v>31771345.119999997</v>
      </c>
      <c r="D17" s="331">
        <f t="shared" si="4"/>
        <v>39425380</v>
      </c>
      <c r="E17" s="331">
        <f t="shared" si="4"/>
        <v>40680495</v>
      </c>
      <c r="F17" s="414">
        <f t="shared" si="4"/>
        <v>11614332.57</v>
      </c>
      <c r="G17" s="331">
        <f t="shared" si="4"/>
        <v>-445580</v>
      </c>
      <c r="H17" s="331">
        <f t="shared" si="4"/>
        <v>40234915</v>
      </c>
    </row>
    <row r="18" spans="1:8" ht="27" customHeight="1" thickBot="1" x14ac:dyDescent="0.35">
      <c r="A18" s="332" t="s">
        <v>384</v>
      </c>
      <c r="B18" s="415">
        <f t="shared" ref="B18" si="5">B16-B17</f>
        <v>791443.1999999918</v>
      </c>
      <c r="C18" s="415">
        <f>C16-C17</f>
        <v>574020.95000000671</v>
      </c>
      <c r="D18" s="333">
        <f t="shared" ref="D18:H18" si="6">D16-D17</f>
        <v>0</v>
      </c>
      <c r="E18" s="333">
        <f t="shared" si="6"/>
        <v>0</v>
      </c>
      <c r="F18" s="415">
        <f t="shared" si="6"/>
        <v>1443710.620000001</v>
      </c>
      <c r="G18" s="333">
        <f t="shared" si="6"/>
        <v>0</v>
      </c>
      <c r="H18" s="333">
        <f t="shared" si="6"/>
        <v>0</v>
      </c>
    </row>
    <row r="19" spans="1:8" x14ac:dyDescent="0.2">
      <c r="B19" s="352"/>
      <c r="C19" s="352"/>
    </row>
    <row r="20" spans="1:8" ht="13.5" thickBot="1" x14ac:dyDescent="0.25">
      <c r="B20" s="352"/>
      <c r="C20" s="352"/>
    </row>
    <row r="21" spans="1:8" ht="20.25" x14ac:dyDescent="0.3">
      <c r="A21" s="325" t="s">
        <v>423</v>
      </c>
      <c r="B21" s="416">
        <f t="shared" ref="B21:H21" si="7">B4+B8</f>
        <v>29323037.379999995</v>
      </c>
      <c r="C21" s="416">
        <f t="shared" si="7"/>
        <v>31517124.860000003</v>
      </c>
      <c r="D21" s="326">
        <f t="shared" si="7"/>
        <v>35450380</v>
      </c>
      <c r="E21" s="326">
        <f t="shared" si="7"/>
        <v>36259180</v>
      </c>
      <c r="F21" s="416">
        <f t="shared" si="7"/>
        <v>12652550.9</v>
      </c>
      <c r="G21" s="326">
        <f t="shared" si="7"/>
        <v>-272280</v>
      </c>
      <c r="H21" s="326">
        <f t="shared" si="7"/>
        <v>35986900</v>
      </c>
    </row>
    <row r="22" spans="1:8" ht="21" thickBot="1" x14ac:dyDescent="0.35">
      <c r="A22" s="327" t="s">
        <v>424</v>
      </c>
      <c r="B22" s="417">
        <f t="shared" ref="B22:H22" si="8">B5+B9</f>
        <v>27800379.480000004</v>
      </c>
      <c r="C22" s="417">
        <f t="shared" si="8"/>
        <v>30984806.099999998</v>
      </c>
      <c r="D22" s="258">
        <f t="shared" si="8"/>
        <v>38112030</v>
      </c>
      <c r="E22" s="258">
        <f t="shared" si="8"/>
        <v>39367145</v>
      </c>
      <c r="F22" s="417">
        <f t="shared" si="8"/>
        <v>11294838.91</v>
      </c>
      <c r="G22" s="258">
        <f t="shared" si="8"/>
        <v>-445580</v>
      </c>
      <c r="H22" s="258">
        <f t="shared" si="8"/>
        <v>38921565</v>
      </c>
    </row>
    <row r="23" spans="1:8" ht="21" thickBot="1" x14ac:dyDescent="0.35">
      <c r="A23" s="328" t="s">
        <v>410</v>
      </c>
      <c r="B23" s="418">
        <f t="shared" ref="B23:H23" si="9">B21-B22</f>
        <v>1522657.8999999911</v>
      </c>
      <c r="C23" s="418">
        <f t="shared" si="9"/>
        <v>532318.76000000536</v>
      </c>
      <c r="D23" s="329">
        <f t="shared" si="9"/>
        <v>-2661650</v>
      </c>
      <c r="E23" s="329">
        <f t="shared" si="9"/>
        <v>-3107965</v>
      </c>
      <c r="F23" s="418">
        <f t="shared" si="9"/>
        <v>1357711.9900000002</v>
      </c>
      <c r="G23" s="329">
        <f t="shared" si="9"/>
        <v>173300</v>
      </c>
      <c r="H23" s="329">
        <f t="shared" si="9"/>
        <v>-2934665</v>
      </c>
    </row>
    <row r="24" spans="1:8" ht="20.25" thickBot="1" x14ac:dyDescent="0.4">
      <c r="A24" s="256"/>
      <c r="B24" s="352"/>
      <c r="C24" s="352"/>
      <c r="G24" s="796"/>
    </row>
    <row r="25" spans="1:8" ht="57" customHeight="1" thickBot="1" x14ac:dyDescent="0.3">
      <c r="A25" s="508" t="s">
        <v>420</v>
      </c>
      <c r="B25" s="574" t="s">
        <v>625</v>
      </c>
      <c r="C25" s="574" t="s">
        <v>639</v>
      </c>
      <c r="D25" s="337" t="s">
        <v>654</v>
      </c>
      <c r="E25" s="251" t="s">
        <v>723</v>
      </c>
      <c r="F25" s="409" t="s">
        <v>655</v>
      </c>
      <c r="G25" s="337" t="s">
        <v>725</v>
      </c>
      <c r="H25" s="337" t="s">
        <v>726</v>
      </c>
    </row>
    <row r="26" spans="1:8" ht="18" x14ac:dyDescent="0.25">
      <c r="A26" s="509" t="s">
        <v>5</v>
      </c>
      <c r="B26" s="575">
        <f>'príjmy '!B4</f>
        <v>12446823.950000001</v>
      </c>
      <c r="C26" s="575">
        <f>'príjmy '!C4</f>
        <v>11711263.68</v>
      </c>
      <c r="D26" s="346">
        <f>'príjmy '!D4</f>
        <v>12470000</v>
      </c>
      <c r="E26" s="346">
        <f>'príjmy '!E4</f>
        <v>12470000</v>
      </c>
      <c r="F26" s="575">
        <f>'príjmy '!F4</f>
        <v>4971537.3499999996</v>
      </c>
      <c r="G26" s="346">
        <f>'príjmy '!G4</f>
        <v>0</v>
      </c>
      <c r="H26" s="346">
        <f>'príjmy '!H4</f>
        <v>12470000</v>
      </c>
    </row>
    <row r="27" spans="1:8" ht="18" x14ac:dyDescent="0.25">
      <c r="A27" s="510" t="s">
        <v>595</v>
      </c>
      <c r="B27" s="576">
        <f>'príjmy '!B19+'príjmy '!B32+'príjmy '!B55+'príjmy '!B108</f>
        <v>3767339.4</v>
      </c>
      <c r="C27" s="576">
        <f>'príjmy '!C19+'príjmy '!C32+'príjmy '!C55+'príjmy '!C108</f>
        <v>3938664.9399999995</v>
      </c>
      <c r="D27" s="347">
        <f>'príjmy '!D19+'príjmy '!D32+'príjmy '!D55+'príjmy '!D108</f>
        <v>5140500</v>
      </c>
      <c r="E27" s="347">
        <f>'príjmy '!E19+'príjmy '!E32+'príjmy '!E55+'príjmy '!E108</f>
        <v>5144500</v>
      </c>
      <c r="F27" s="576">
        <f>'príjmy '!F19+'príjmy '!F32+'príjmy '!F55+'príjmy '!F108</f>
        <v>1424055.4899999998</v>
      </c>
      <c r="G27" s="347">
        <f>'príjmy '!G19+'príjmy '!G32+'príjmy '!G55+'príjmy '!G108</f>
        <v>47810</v>
      </c>
      <c r="H27" s="347">
        <f>'príjmy '!H19+'príjmy '!H32+'príjmy '!H55+'príjmy '!H108</f>
        <v>5192310</v>
      </c>
    </row>
    <row r="28" spans="1:8" ht="18" x14ac:dyDescent="0.25">
      <c r="A28" s="510" t="s">
        <v>596</v>
      </c>
      <c r="B28" s="576">
        <f>'príjmy '!B65+'príjmy '!B112</f>
        <v>13108874.029999997</v>
      </c>
      <c r="C28" s="576">
        <f>'príjmy '!C65+'príjmy '!C112</f>
        <v>15867196.240000002</v>
      </c>
      <c r="D28" s="347">
        <f>'príjmy '!D65+'príjmy '!D112</f>
        <v>17839880</v>
      </c>
      <c r="E28" s="347">
        <f>'príjmy '!E65+'príjmy '!E112</f>
        <v>18644680</v>
      </c>
      <c r="F28" s="576">
        <f>'príjmy '!F65+'príjmy '!F112</f>
        <v>6256958.0599999996</v>
      </c>
      <c r="G28" s="347">
        <f>'príjmy '!G65+'príjmy '!G112</f>
        <v>-320090</v>
      </c>
      <c r="H28" s="347">
        <f>'príjmy '!H65+'príjmy '!H112</f>
        <v>18324590</v>
      </c>
    </row>
    <row r="29" spans="1:8" ht="18" x14ac:dyDescent="0.25">
      <c r="A29" s="510" t="s">
        <v>597</v>
      </c>
      <c r="B29" s="576">
        <f>'príjmy '!B133+'príjmy '!B134+'príjmy '!B135+'príjmy '!B136+'príjmy '!B137</f>
        <v>1534413.2300000004</v>
      </c>
      <c r="C29" s="576">
        <f>'príjmy '!C133+'príjmy '!C134+'príjmy '!C135+'príjmy '!C136+'príjmy '!C137</f>
        <v>751204.67</v>
      </c>
      <c r="D29" s="347">
        <f>'príjmy '!D133+'príjmy '!D134+'príjmy '!D135+'príjmy '!D136+'príjmy '!D137</f>
        <v>325000</v>
      </c>
      <c r="E29" s="347">
        <f>'príjmy '!E133+'príjmy '!E134+'príjmy '!E135+'príjmy '!E136+'príjmy '!E137</f>
        <v>771315</v>
      </c>
      <c r="F29" s="576">
        <f>'príjmy '!F133+'príjmy '!F134+'príjmy '!F135+'príjmy '!F136+'príjmy '!F137</f>
        <v>316784.28000000003</v>
      </c>
      <c r="G29" s="347">
        <f>'príjmy '!G133+'príjmy '!G134+'príjmy '!G135+'príjmy '!G136+'príjmy '!G137</f>
        <v>-173300</v>
      </c>
      <c r="H29" s="347">
        <f>'príjmy '!H133+'príjmy '!H134+'príjmy '!H135+'príjmy '!H136+'príjmy '!H137</f>
        <v>598015</v>
      </c>
    </row>
    <row r="30" spans="1:8" ht="18" x14ac:dyDescent="0.25">
      <c r="A30" s="510" t="s">
        <v>598</v>
      </c>
      <c r="B30" s="576">
        <f>'príjmy '!B138+'príjmy '!B140</f>
        <v>2952682.98</v>
      </c>
      <c r="C30" s="576">
        <f>'príjmy '!C138+'príjmy '!C140+'príjmy '!C139</f>
        <v>77036.539999999994</v>
      </c>
      <c r="D30" s="347">
        <f>'príjmy '!D138+'príjmy '!D140+'príjmy '!D139</f>
        <v>3650000</v>
      </c>
      <c r="E30" s="347">
        <f>'príjmy '!E138+'príjmy '!E140+'príjmy '!E139</f>
        <v>3650000</v>
      </c>
      <c r="F30" s="576">
        <f>'príjmy '!F138+'príjmy '!F140+'príjmy '!F139</f>
        <v>88708.01</v>
      </c>
      <c r="G30" s="347">
        <f>'príjmy '!G138+'príjmy '!G140+'príjmy '!G139</f>
        <v>0</v>
      </c>
      <c r="H30" s="347">
        <f>'príjmy '!H138+'príjmy '!H140+'príjmy '!H139</f>
        <v>3650000</v>
      </c>
    </row>
    <row r="31" spans="1:8" ht="18" x14ac:dyDescent="0.25">
      <c r="A31" s="510" t="s">
        <v>599</v>
      </c>
      <c r="B31" s="576">
        <f>B5</f>
        <v>25714704.720000003</v>
      </c>
      <c r="C31" s="576">
        <f>C5</f>
        <v>27522208.229999997</v>
      </c>
      <c r="D31" s="347">
        <f t="shared" ref="D31:H31" si="10">D5</f>
        <v>30612850</v>
      </c>
      <c r="E31" s="347">
        <f t="shared" si="10"/>
        <v>31035116</v>
      </c>
      <c r="F31" s="576">
        <f t="shared" si="10"/>
        <v>9565983.6600000001</v>
      </c>
      <c r="G31" s="347">
        <f t="shared" si="10"/>
        <v>-36521</v>
      </c>
      <c r="H31" s="347">
        <f t="shared" si="10"/>
        <v>30998595</v>
      </c>
    </row>
    <row r="32" spans="1:8" ht="18" x14ac:dyDescent="0.25">
      <c r="A32" s="510" t="s">
        <v>600</v>
      </c>
      <c r="B32" s="576">
        <f t="shared" ref="B32:H32" si="11">B9</f>
        <v>2085674.76</v>
      </c>
      <c r="C32" s="576">
        <f t="shared" si="11"/>
        <v>3462597.8699999996</v>
      </c>
      <c r="D32" s="347">
        <f t="shared" si="11"/>
        <v>7499180</v>
      </c>
      <c r="E32" s="347">
        <f t="shared" si="11"/>
        <v>8332029</v>
      </c>
      <c r="F32" s="576">
        <f t="shared" si="11"/>
        <v>1728855.25</v>
      </c>
      <c r="G32" s="347">
        <f t="shared" si="11"/>
        <v>-409059</v>
      </c>
      <c r="H32" s="347">
        <f t="shared" si="11"/>
        <v>7922970</v>
      </c>
    </row>
    <row r="33" spans="1:20" ht="18.75" thickBot="1" x14ac:dyDescent="0.3">
      <c r="A33" s="511" t="s">
        <v>601</v>
      </c>
      <c r="B33" s="577">
        <f t="shared" ref="B33:H33" si="12">B13</f>
        <v>5218310.91</v>
      </c>
      <c r="C33" s="577">
        <f t="shared" si="12"/>
        <v>786539.02</v>
      </c>
      <c r="D33" s="348">
        <f t="shared" si="12"/>
        <v>1313350</v>
      </c>
      <c r="E33" s="348">
        <f t="shared" si="12"/>
        <v>1313350</v>
      </c>
      <c r="F33" s="577">
        <f t="shared" si="12"/>
        <v>319493.66000000003</v>
      </c>
      <c r="G33" s="348">
        <f t="shared" si="12"/>
        <v>0</v>
      </c>
      <c r="H33" s="348">
        <f t="shared" si="12"/>
        <v>1313350</v>
      </c>
    </row>
    <row r="34" spans="1:20" ht="13.5" thickBot="1" x14ac:dyDescent="0.25">
      <c r="A34" s="852"/>
      <c r="B34" s="352"/>
      <c r="C34" s="352"/>
    </row>
    <row r="35" spans="1:20" ht="58.5" customHeight="1" thickBot="1" x14ac:dyDescent="0.3">
      <c r="A35" s="853"/>
      <c r="B35" s="523" t="s">
        <v>625</v>
      </c>
      <c r="C35" s="574" t="s">
        <v>639</v>
      </c>
      <c r="D35" s="337" t="s">
        <v>654</v>
      </c>
      <c r="E35" s="251" t="s">
        <v>723</v>
      </c>
      <c r="F35" s="409" t="s">
        <v>655</v>
      </c>
      <c r="G35" s="337" t="s">
        <v>725</v>
      </c>
      <c r="H35" s="337" t="s">
        <v>726</v>
      </c>
    </row>
    <row r="36" spans="1:20" ht="18" x14ac:dyDescent="0.25">
      <c r="A36" s="512" t="s">
        <v>436</v>
      </c>
      <c r="B36" s="578">
        <f t="shared" ref="B36:H36" si="13">B26+B27+B28+B29+B30</f>
        <v>33810133.589999996</v>
      </c>
      <c r="C36" s="578">
        <f t="shared" si="13"/>
        <v>32345366.07</v>
      </c>
      <c r="D36" s="703">
        <f t="shared" si="13"/>
        <v>39425380</v>
      </c>
      <c r="E36" s="703">
        <f t="shared" si="13"/>
        <v>40680495</v>
      </c>
      <c r="F36" s="578">
        <f t="shared" si="13"/>
        <v>13058043.189999998</v>
      </c>
      <c r="G36" s="703">
        <f t="shared" si="13"/>
        <v>-445580</v>
      </c>
      <c r="H36" s="703">
        <f t="shared" si="13"/>
        <v>40234915</v>
      </c>
    </row>
    <row r="37" spans="1:20" ht="18" x14ac:dyDescent="0.25">
      <c r="A37" s="513" t="s">
        <v>437</v>
      </c>
      <c r="B37" s="579">
        <f t="shared" ref="B37:H37" si="14">B31+B32+B33</f>
        <v>33018690.390000004</v>
      </c>
      <c r="C37" s="579">
        <f t="shared" si="14"/>
        <v>31771345.119999997</v>
      </c>
      <c r="D37" s="704">
        <f t="shared" si="14"/>
        <v>39425380</v>
      </c>
      <c r="E37" s="704">
        <f t="shared" si="14"/>
        <v>40680495</v>
      </c>
      <c r="F37" s="579">
        <f t="shared" si="14"/>
        <v>11614332.57</v>
      </c>
      <c r="G37" s="704">
        <f t="shared" si="14"/>
        <v>-445580</v>
      </c>
      <c r="H37" s="704">
        <f t="shared" si="14"/>
        <v>40234915</v>
      </c>
    </row>
    <row r="38" spans="1:20" ht="18.75" thickBot="1" x14ac:dyDescent="0.3">
      <c r="A38" s="514" t="s">
        <v>379</v>
      </c>
      <c r="B38" s="580">
        <f t="shared" ref="B38:H38" si="15">B36-B37</f>
        <v>791443.1999999918</v>
      </c>
      <c r="C38" s="580">
        <f t="shared" si="15"/>
        <v>574020.95000000298</v>
      </c>
      <c r="D38" s="705">
        <f t="shared" si="15"/>
        <v>0</v>
      </c>
      <c r="E38" s="705">
        <f t="shared" si="15"/>
        <v>0</v>
      </c>
      <c r="F38" s="580">
        <f t="shared" si="15"/>
        <v>1443710.6199999973</v>
      </c>
      <c r="G38" s="705">
        <f t="shared" si="15"/>
        <v>0</v>
      </c>
      <c r="H38" s="705">
        <f t="shared" si="15"/>
        <v>0</v>
      </c>
      <c r="J38" s="349"/>
      <c r="K38" s="349"/>
      <c r="L38" s="349"/>
      <c r="M38" s="349"/>
      <c r="N38" s="349"/>
      <c r="O38" s="349"/>
      <c r="P38" s="349"/>
    </row>
    <row r="42" spans="1:20" x14ac:dyDescent="0.2">
      <c r="T42" s="102"/>
    </row>
    <row r="49" ht="58.5" customHeight="1" x14ac:dyDescent="0.2"/>
  </sheetData>
  <sheetProtection selectLockedCells="1" selectUnlockedCells="1"/>
  <mergeCells count="2">
    <mergeCell ref="A34:A35"/>
    <mergeCell ref="A1:H1"/>
  </mergeCells>
  <phoneticPr fontId="0" type="noConversion"/>
  <pageMargins left="0" right="0" top="0" bottom="0" header="0.51181102362204722" footer="0.51181102362204722"/>
  <pageSetup paperSize="9" scale="67" firstPageNumber="0" fitToHeight="0" orientation="landscape" verticalDpi="300" r:id="rId1"/>
  <headerFooter alignWithMargins="0"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45"/>
  <sheetViews>
    <sheetView topLeftCell="A21" zoomScaleNormal="100" workbookViewId="0">
      <selection activeCell="B31" sqref="B31"/>
    </sheetView>
  </sheetViews>
  <sheetFormatPr defaultRowHeight="15" x14ac:dyDescent="0.25"/>
  <cols>
    <col min="1" max="1" width="11.7109375" bestFit="1" customWidth="1"/>
    <col min="2" max="2" width="60.42578125" bestFit="1" customWidth="1"/>
    <col min="3" max="3" width="17.5703125" style="1" bestFit="1" customWidth="1"/>
    <col min="4" max="4" width="17.5703125" style="1" customWidth="1"/>
    <col min="5" max="5" width="16.7109375" customWidth="1"/>
    <col min="6" max="6" width="19.140625" style="1" customWidth="1"/>
    <col min="7" max="7" width="16.7109375" customWidth="1"/>
    <col min="10" max="10" width="9.85546875" bestFit="1" customWidth="1"/>
  </cols>
  <sheetData>
    <row r="1" spans="1:7" ht="16.5" thickBot="1" x14ac:dyDescent="0.3">
      <c r="A1" s="855" t="s">
        <v>721</v>
      </c>
      <c r="B1" s="855"/>
      <c r="C1" s="855"/>
      <c r="D1" s="855"/>
      <c r="E1" s="855"/>
      <c r="F1" s="855"/>
      <c r="G1" s="855"/>
    </row>
    <row r="2" spans="1:7" s="808" customFormat="1" ht="48.75" customHeight="1" thickBot="1" x14ac:dyDescent="0.3">
      <c r="A2" s="805" t="s">
        <v>587</v>
      </c>
      <c r="B2" s="806" t="s">
        <v>381</v>
      </c>
      <c r="C2" s="807" t="s">
        <v>656</v>
      </c>
      <c r="D2" s="804" t="s">
        <v>723</v>
      </c>
      <c r="E2" s="804" t="s">
        <v>657</v>
      </c>
      <c r="F2" s="809" t="s">
        <v>725</v>
      </c>
      <c r="G2" s="804" t="s">
        <v>726</v>
      </c>
    </row>
    <row r="3" spans="1:7" ht="15.75" x14ac:dyDescent="0.25">
      <c r="A3" s="524" t="s">
        <v>438</v>
      </c>
      <c r="B3" s="583" t="s">
        <v>442</v>
      </c>
      <c r="C3" s="584">
        <v>50000</v>
      </c>
      <c r="D3" s="584">
        <v>52700</v>
      </c>
      <c r="E3" s="592">
        <v>8673.64</v>
      </c>
      <c r="F3" s="594"/>
      <c r="G3" s="594">
        <f>D3+F3</f>
        <v>52700</v>
      </c>
    </row>
    <row r="4" spans="1:7" ht="15.75" x14ac:dyDescent="0.25">
      <c r="A4" s="706" t="s">
        <v>748</v>
      </c>
      <c r="B4" s="583" t="s">
        <v>749</v>
      </c>
      <c r="C4" s="584"/>
      <c r="D4" s="584"/>
      <c r="E4" s="592"/>
      <c r="F4" s="594">
        <v>20000</v>
      </c>
      <c r="G4" s="594">
        <f>D4+F4</f>
        <v>20000</v>
      </c>
    </row>
    <row r="5" spans="1:7" ht="15.75" x14ac:dyDescent="0.25">
      <c r="A5" s="856" t="s">
        <v>556</v>
      </c>
      <c r="B5" s="583" t="s">
        <v>663</v>
      </c>
      <c r="C5" s="584">
        <v>2700</v>
      </c>
      <c r="D5" s="584">
        <v>2700</v>
      </c>
      <c r="E5" s="592">
        <v>2705</v>
      </c>
      <c r="F5" s="594">
        <v>5</v>
      </c>
      <c r="G5" s="594">
        <f t="shared" ref="G5:G37" si="0">D5+F5</f>
        <v>2705</v>
      </c>
    </row>
    <row r="6" spans="1:7" ht="15.75" x14ac:dyDescent="0.25">
      <c r="A6" s="859"/>
      <c r="B6" s="585" t="s">
        <v>439</v>
      </c>
      <c r="C6" s="586">
        <v>115000</v>
      </c>
      <c r="D6" s="586">
        <v>115000</v>
      </c>
      <c r="E6" s="593"/>
      <c r="F6" s="595"/>
      <c r="G6" s="594">
        <f t="shared" si="0"/>
        <v>115000</v>
      </c>
    </row>
    <row r="7" spans="1:7" ht="15.75" x14ac:dyDescent="0.25">
      <c r="A7" s="706" t="s">
        <v>729</v>
      </c>
      <c r="B7" s="585" t="s">
        <v>730</v>
      </c>
      <c r="C7" s="586"/>
      <c r="D7" s="586">
        <v>6500</v>
      </c>
      <c r="E7" s="593">
        <v>6472.64</v>
      </c>
      <c r="F7" s="595"/>
      <c r="G7" s="594">
        <f t="shared" si="0"/>
        <v>6500</v>
      </c>
    </row>
    <row r="8" spans="1:7" ht="15.75" x14ac:dyDescent="0.25">
      <c r="A8" s="856" t="s">
        <v>666</v>
      </c>
      <c r="B8" s="585" t="s">
        <v>552</v>
      </c>
      <c r="C8" s="586">
        <v>227000</v>
      </c>
      <c r="D8" s="586">
        <v>227000</v>
      </c>
      <c r="E8" s="593">
        <v>75633.320000000007</v>
      </c>
      <c r="F8" s="595"/>
      <c r="G8" s="594">
        <f t="shared" si="0"/>
        <v>227000</v>
      </c>
    </row>
    <row r="9" spans="1:7" ht="15.75" x14ac:dyDescent="0.25">
      <c r="A9" s="858"/>
      <c r="B9" s="585" t="s">
        <v>665</v>
      </c>
      <c r="C9" s="586">
        <v>10000</v>
      </c>
      <c r="D9" s="586">
        <v>10000</v>
      </c>
      <c r="E9" s="593"/>
      <c r="F9" s="595"/>
      <c r="G9" s="594">
        <f t="shared" si="0"/>
        <v>10000</v>
      </c>
    </row>
    <row r="10" spans="1:7" ht="15.75" x14ac:dyDescent="0.25">
      <c r="A10" s="858"/>
      <c r="B10" s="585" t="s">
        <v>552</v>
      </c>
      <c r="C10" s="586">
        <v>2400000</v>
      </c>
      <c r="D10" s="586">
        <v>2400000</v>
      </c>
      <c r="E10" s="593"/>
      <c r="F10" s="595">
        <v>-350000</v>
      </c>
      <c r="G10" s="594">
        <f t="shared" si="0"/>
        <v>2050000</v>
      </c>
    </row>
    <row r="11" spans="1:7" ht="15.75" x14ac:dyDescent="0.25">
      <c r="A11" s="858"/>
      <c r="B11" s="585" t="s">
        <v>731</v>
      </c>
      <c r="C11" s="586"/>
      <c r="D11" s="586">
        <v>184000</v>
      </c>
      <c r="E11" s="593">
        <v>183754.82</v>
      </c>
      <c r="F11" s="595"/>
      <c r="G11" s="594">
        <f t="shared" si="0"/>
        <v>184000</v>
      </c>
    </row>
    <row r="12" spans="1:7" ht="15.75" x14ac:dyDescent="0.25">
      <c r="A12" s="859"/>
      <c r="B12" s="585" t="s">
        <v>664</v>
      </c>
      <c r="C12" s="586">
        <v>20000</v>
      </c>
      <c r="D12" s="586">
        <v>20000</v>
      </c>
      <c r="E12" s="593"/>
      <c r="F12" s="595">
        <v>9000</v>
      </c>
      <c r="G12" s="594">
        <f t="shared" si="0"/>
        <v>29000</v>
      </c>
    </row>
    <row r="13" spans="1:7" ht="15.75" x14ac:dyDescent="0.25">
      <c r="A13" s="856" t="s">
        <v>644</v>
      </c>
      <c r="B13" s="585" t="s">
        <v>732</v>
      </c>
      <c r="C13" s="586"/>
      <c r="D13" s="586">
        <v>221000</v>
      </c>
      <c r="E13" s="593"/>
      <c r="F13" s="595"/>
      <c r="G13" s="594">
        <f t="shared" si="0"/>
        <v>221000</v>
      </c>
    </row>
    <row r="14" spans="1:7" ht="15.75" x14ac:dyDescent="0.25">
      <c r="A14" s="858"/>
      <c r="B14" s="585" t="s">
        <v>733</v>
      </c>
      <c r="C14" s="586"/>
      <c r="D14" s="586">
        <v>118000</v>
      </c>
      <c r="E14" s="593"/>
      <c r="F14" s="595"/>
      <c r="G14" s="594">
        <f t="shared" si="0"/>
        <v>118000</v>
      </c>
    </row>
    <row r="15" spans="1:7" ht="15.75" x14ac:dyDescent="0.25">
      <c r="A15" s="858"/>
      <c r="B15" s="585" t="s">
        <v>734</v>
      </c>
      <c r="C15" s="586"/>
      <c r="D15" s="586">
        <v>26157</v>
      </c>
      <c r="E15" s="593">
        <v>13012</v>
      </c>
      <c r="F15" s="595"/>
      <c r="G15" s="594">
        <f t="shared" si="0"/>
        <v>26157</v>
      </c>
    </row>
    <row r="16" spans="1:7" ht="15.75" x14ac:dyDescent="0.25">
      <c r="A16" s="858"/>
      <c r="B16" s="585" t="s">
        <v>735</v>
      </c>
      <c r="C16" s="586"/>
      <c r="D16" s="586">
        <v>58000</v>
      </c>
      <c r="E16" s="593"/>
      <c r="F16" s="595"/>
      <c r="G16" s="594">
        <f t="shared" si="0"/>
        <v>58000</v>
      </c>
    </row>
    <row r="17" spans="1:7" ht="15.75" x14ac:dyDescent="0.25">
      <c r="A17" s="858"/>
      <c r="B17" s="585" t="s">
        <v>736</v>
      </c>
      <c r="C17" s="586"/>
      <c r="D17" s="586">
        <v>241000</v>
      </c>
      <c r="E17" s="593"/>
      <c r="F17" s="595"/>
      <c r="G17" s="594">
        <f t="shared" si="0"/>
        <v>241000</v>
      </c>
    </row>
    <row r="18" spans="1:7" ht="15.75" x14ac:dyDescent="0.25">
      <c r="A18" s="858"/>
      <c r="B18" s="585" t="s">
        <v>737</v>
      </c>
      <c r="C18" s="586"/>
      <c r="D18" s="586">
        <v>284000</v>
      </c>
      <c r="E18" s="593"/>
      <c r="F18" s="595"/>
      <c r="G18" s="594">
        <f t="shared" si="0"/>
        <v>284000</v>
      </c>
    </row>
    <row r="19" spans="1:7" ht="15.75" x14ac:dyDescent="0.25">
      <c r="A19" s="858"/>
      <c r="B19" s="585" t="s">
        <v>667</v>
      </c>
      <c r="C19" s="586">
        <v>133000</v>
      </c>
      <c r="D19" s="586">
        <v>133000</v>
      </c>
      <c r="E19" s="593">
        <v>92000</v>
      </c>
      <c r="F19" s="595"/>
      <c r="G19" s="594">
        <f t="shared" si="0"/>
        <v>133000</v>
      </c>
    </row>
    <row r="20" spans="1:7" ht="15.75" x14ac:dyDescent="0.25">
      <c r="A20" s="858"/>
      <c r="B20" s="585" t="s">
        <v>648</v>
      </c>
      <c r="C20" s="586">
        <v>395000</v>
      </c>
      <c r="D20" s="586">
        <v>395000</v>
      </c>
      <c r="E20" s="593"/>
      <c r="F20" s="595">
        <v>-17400</v>
      </c>
      <c r="G20" s="594">
        <f t="shared" si="0"/>
        <v>377600</v>
      </c>
    </row>
    <row r="21" spans="1:7" ht="15.75" x14ac:dyDescent="0.25">
      <c r="A21" s="858"/>
      <c r="B21" s="585" t="s">
        <v>738</v>
      </c>
      <c r="C21" s="586"/>
      <c r="D21" s="586">
        <v>53000</v>
      </c>
      <c r="E21" s="593"/>
      <c r="F21" s="595"/>
      <c r="G21" s="594">
        <f t="shared" si="0"/>
        <v>53000</v>
      </c>
    </row>
    <row r="22" spans="1:7" ht="15.75" x14ac:dyDescent="0.25">
      <c r="A22" s="858"/>
      <c r="B22" s="585" t="s">
        <v>668</v>
      </c>
      <c r="C22" s="586">
        <v>400000</v>
      </c>
      <c r="D22" s="586">
        <v>0</v>
      </c>
      <c r="E22" s="593"/>
      <c r="F22" s="595"/>
      <c r="G22" s="594">
        <f t="shared" si="0"/>
        <v>0</v>
      </c>
    </row>
    <row r="23" spans="1:7" ht="15.75" x14ac:dyDescent="0.25">
      <c r="A23" s="859"/>
      <c r="B23" s="587" t="s">
        <v>617</v>
      </c>
      <c r="C23" s="586">
        <v>40000</v>
      </c>
      <c r="D23" s="586">
        <v>26988</v>
      </c>
      <c r="E23" s="593"/>
      <c r="F23" s="595"/>
      <c r="G23" s="594">
        <f t="shared" si="0"/>
        <v>26988</v>
      </c>
    </row>
    <row r="24" spans="1:7" ht="15.75" x14ac:dyDescent="0.25">
      <c r="A24" s="856" t="s">
        <v>669</v>
      </c>
      <c r="B24" s="587" t="s">
        <v>739</v>
      </c>
      <c r="C24" s="586"/>
      <c r="D24" s="586">
        <v>5690</v>
      </c>
      <c r="E24" s="593"/>
      <c r="F24" s="595"/>
      <c r="G24" s="594">
        <f t="shared" si="0"/>
        <v>5690</v>
      </c>
    </row>
    <row r="25" spans="1:7" ht="15.75" x14ac:dyDescent="0.25">
      <c r="A25" s="859"/>
      <c r="B25" s="587" t="s">
        <v>670</v>
      </c>
      <c r="C25" s="586">
        <v>550000</v>
      </c>
      <c r="D25" s="586">
        <v>550000</v>
      </c>
      <c r="E25" s="593"/>
      <c r="F25" s="595"/>
      <c r="G25" s="594">
        <f t="shared" si="0"/>
        <v>550000</v>
      </c>
    </row>
    <row r="26" spans="1:7" ht="15.75" x14ac:dyDescent="0.25">
      <c r="A26" s="856" t="s">
        <v>619</v>
      </c>
      <c r="B26" s="587" t="s">
        <v>643</v>
      </c>
      <c r="C26" s="586">
        <v>0</v>
      </c>
      <c r="D26" s="586">
        <f>27900+9750</f>
        <v>37650</v>
      </c>
      <c r="E26" s="593"/>
      <c r="F26" s="595"/>
      <c r="G26" s="594">
        <f t="shared" si="0"/>
        <v>37650</v>
      </c>
    </row>
    <row r="27" spans="1:7" ht="15.75" x14ac:dyDescent="0.25">
      <c r="A27" s="858"/>
      <c r="B27" s="587" t="s">
        <v>581</v>
      </c>
      <c r="C27" s="586">
        <v>246600</v>
      </c>
      <c r="D27" s="586">
        <v>246600</v>
      </c>
      <c r="E27" s="593">
        <v>246591.92</v>
      </c>
      <c r="F27" s="595"/>
      <c r="G27" s="594">
        <f t="shared" si="0"/>
        <v>246600</v>
      </c>
    </row>
    <row r="28" spans="1:7" ht="15.75" x14ac:dyDescent="0.25">
      <c r="A28" s="858"/>
      <c r="B28" s="587" t="s">
        <v>642</v>
      </c>
      <c r="C28" s="586">
        <v>30580</v>
      </c>
      <c r="D28" s="586">
        <v>39644</v>
      </c>
      <c r="E28" s="593"/>
      <c r="F28" s="595"/>
      <c r="G28" s="594">
        <f t="shared" si="0"/>
        <v>39644</v>
      </c>
    </row>
    <row r="29" spans="1:7" ht="15.75" x14ac:dyDescent="0.25">
      <c r="A29" s="859"/>
      <c r="B29" s="587" t="s">
        <v>671</v>
      </c>
      <c r="C29" s="586">
        <v>400000</v>
      </c>
      <c r="D29" s="586">
        <v>400000</v>
      </c>
      <c r="E29" s="593"/>
      <c r="F29" s="595">
        <v>-400000</v>
      </c>
      <c r="G29" s="594">
        <f t="shared" si="0"/>
        <v>0</v>
      </c>
    </row>
    <row r="30" spans="1:7" ht="15.75" x14ac:dyDescent="0.25">
      <c r="A30" s="856" t="s">
        <v>630</v>
      </c>
      <c r="B30" s="587" t="s">
        <v>672</v>
      </c>
      <c r="C30" s="586">
        <v>530000</v>
      </c>
      <c r="D30" s="586">
        <v>530000</v>
      </c>
      <c r="E30" s="593"/>
      <c r="F30" s="595"/>
      <c r="G30" s="594">
        <f t="shared" si="0"/>
        <v>530000</v>
      </c>
    </row>
    <row r="31" spans="1:7" ht="15.75" x14ac:dyDescent="0.25">
      <c r="A31" s="858"/>
      <c r="B31" s="587" t="s">
        <v>755</v>
      </c>
      <c r="C31" s="586"/>
      <c r="D31" s="586"/>
      <c r="E31" s="593"/>
      <c r="F31" s="595">
        <v>6000</v>
      </c>
      <c r="G31" s="594">
        <f t="shared" si="0"/>
        <v>6000</v>
      </c>
    </row>
    <row r="32" spans="1:7" ht="15.75" x14ac:dyDescent="0.25">
      <c r="A32" s="858"/>
      <c r="B32" s="587" t="s">
        <v>757</v>
      </c>
      <c r="C32" s="586"/>
      <c r="D32" s="586"/>
      <c r="E32" s="593"/>
      <c r="F32" s="595">
        <v>350000</v>
      </c>
      <c r="G32" s="594">
        <f t="shared" si="0"/>
        <v>350000</v>
      </c>
    </row>
    <row r="33" spans="1:10" ht="15.75" x14ac:dyDescent="0.25">
      <c r="A33" s="859"/>
      <c r="B33" s="585" t="s">
        <v>631</v>
      </c>
      <c r="C33" s="586">
        <v>22730</v>
      </c>
      <c r="D33" s="586">
        <v>22730</v>
      </c>
      <c r="E33" s="593"/>
      <c r="F33" s="595"/>
      <c r="G33" s="594">
        <f t="shared" si="0"/>
        <v>22730</v>
      </c>
    </row>
    <row r="34" spans="1:10" ht="15.75" x14ac:dyDescent="0.25">
      <c r="A34" s="856" t="s">
        <v>603</v>
      </c>
      <c r="B34" s="585" t="s">
        <v>662</v>
      </c>
      <c r="C34" s="586">
        <v>1590000</v>
      </c>
      <c r="D34" s="586">
        <v>1617000</v>
      </c>
      <c r="E34" s="593">
        <v>991971.17</v>
      </c>
      <c r="F34" s="595"/>
      <c r="G34" s="594">
        <f t="shared" si="0"/>
        <v>1617000</v>
      </c>
    </row>
    <row r="35" spans="1:10" ht="15.75" x14ac:dyDescent="0.25">
      <c r="A35" s="859"/>
      <c r="B35" s="585" t="s">
        <v>533</v>
      </c>
      <c r="C35" s="586">
        <v>10000</v>
      </c>
      <c r="D35" s="586">
        <v>10000</v>
      </c>
      <c r="E35" s="593">
        <v>5928.6</v>
      </c>
      <c r="F35" s="595">
        <v>6341</v>
      </c>
      <c r="G35" s="594">
        <f>D35+F35</f>
        <v>16341</v>
      </c>
    </row>
    <row r="36" spans="1:10" ht="15.75" x14ac:dyDescent="0.25">
      <c r="A36" s="856" t="s">
        <v>629</v>
      </c>
      <c r="B36" s="645" t="s">
        <v>440</v>
      </c>
      <c r="C36" s="586">
        <v>54570</v>
      </c>
      <c r="D36" s="586">
        <f>36420-9750</f>
        <v>26670</v>
      </c>
      <c r="E36" s="593"/>
      <c r="F36" s="595">
        <v>-3005</v>
      </c>
      <c r="G36" s="594">
        <f t="shared" si="0"/>
        <v>23665</v>
      </c>
    </row>
    <row r="37" spans="1:10" ht="16.5" thickBot="1" x14ac:dyDescent="0.3">
      <c r="A37" s="857"/>
      <c r="B37" s="645" t="s">
        <v>649</v>
      </c>
      <c r="C37" s="586">
        <v>272000</v>
      </c>
      <c r="D37" s="586">
        <v>272000</v>
      </c>
      <c r="E37" s="648">
        <v>102112.14</v>
      </c>
      <c r="F37" s="810">
        <v>-30000</v>
      </c>
      <c r="G37" s="594">
        <f t="shared" si="0"/>
        <v>242000</v>
      </c>
    </row>
    <row r="38" spans="1:10" s="353" customFormat="1" ht="19.5" thickBot="1" x14ac:dyDescent="0.35">
      <c r="A38" s="588"/>
      <c r="B38" s="589" t="s">
        <v>441</v>
      </c>
      <c r="C38" s="590">
        <f t="shared" ref="C38:E38" si="1">SUM(C3:C37)</f>
        <v>7499180</v>
      </c>
      <c r="D38" s="590">
        <f t="shared" si="1"/>
        <v>8332029</v>
      </c>
      <c r="E38" s="591">
        <f t="shared" si="1"/>
        <v>1728855.2500000002</v>
      </c>
      <c r="F38" s="590">
        <f>SUM(F3:F37)</f>
        <v>-409059</v>
      </c>
      <c r="G38" s="596">
        <f>SUM(G3:G37)</f>
        <v>7922970</v>
      </c>
      <c r="J38"/>
    </row>
    <row r="45" spans="1:10" s="350" customFormat="1" ht="15.75" x14ac:dyDescent="0.25">
      <c r="C45" s="525"/>
      <c r="D45" s="525"/>
      <c r="F45" s="525"/>
    </row>
  </sheetData>
  <mergeCells count="9">
    <mergeCell ref="A1:G1"/>
    <mergeCell ref="A36:A37"/>
    <mergeCell ref="A26:A29"/>
    <mergeCell ref="A5:A6"/>
    <mergeCell ref="A8:A12"/>
    <mergeCell ref="A30:A33"/>
    <mergeCell ref="A34:A35"/>
    <mergeCell ref="A13:A23"/>
    <mergeCell ref="A24:A25"/>
  </mergeCells>
  <pageMargins left="0.7" right="0.7" top="0.75" bottom="0.75" header="0.3" footer="0.3"/>
  <pageSetup paperSize="9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62"/>
  <sheetViews>
    <sheetView topLeftCell="D39" zoomScale="93" zoomScaleNormal="93" workbookViewId="0">
      <selection activeCell="Q58" sqref="Q58"/>
    </sheetView>
  </sheetViews>
  <sheetFormatPr defaultRowHeight="15" x14ac:dyDescent="0.25"/>
  <cols>
    <col min="1" max="1" width="9.140625" style="474"/>
    <col min="2" max="2" width="23.42578125" style="474" bestFit="1" customWidth="1"/>
    <col min="3" max="3" width="11.28515625" style="474" bestFit="1" customWidth="1"/>
    <col min="4" max="4" width="10.28515625" style="474" bestFit="1" customWidth="1"/>
    <col min="5" max="5" width="10.42578125" style="474" customWidth="1"/>
    <col min="6" max="9" width="10" style="474" customWidth="1"/>
    <col min="10" max="10" width="11.28515625" style="474" bestFit="1" customWidth="1"/>
    <col min="11" max="11" width="23.28515625" style="474" bestFit="1" customWidth="1"/>
    <col min="12" max="12" width="9.42578125" style="474" customWidth="1"/>
    <col min="13" max="13" width="9.42578125" style="474" bestFit="1" customWidth="1"/>
    <col min="14" max="14" width="16.85546875" style="474" bestFit="1" customWidth="1"/>
    <col min="15" max="16" width="14.140625" style="474" bestFit="1" customWidth="1"/>
    <col min="17" max="18" width="12.5703125" style="474" bestFit="1" customWidth="1"/>
    <col min="19" max="23" width="13.5703125" style="474" customWidth="1"/>
    <col min="24" max="24" width="9.140625" style="474"/>
  </cols>
  <sheetData>
    <row r="1" spans="1:23" ht="16.5" customHeight="1" thickBot="1" x14ac:dyDescent="0.3">
      <c r="A1" s="887" t="s">
        <v>722</v>
      </c>
      <c r="B1" s="888"/>
      <c r="C1" s="888"/>
      <c r="D1" s="888"/>
      <c r="E1" s="888"/>
      <c r="F1" s="888"/>
      <c r="G1" s="888"/>
      <c r="H1" s="888"/>
      <c r="I1" s="888"/>
      <c r="J1" s="888"/>
      <c r="K1" s="888"/>
      <c r="L1" s="888"/>
      <c r="M1" s="888"/>
      <c r="N1" s="888"/>
      <c r="O1" s="888"/>
      <c r="P1" s="888"/>
      <c r="Q1" s="888"/>
      <c r="R1" s="888"/>
      <c r="S1" s="888"/>
      <c r="T1" s="888"/>
      <c r="U1" s="888"/>
      <c r="V1" s="888"/>
      <c r="W1" s="888"/>
    </row>
    <row r="2" spans="1:23" ht="15" customHeight="1" thickBot="1" x14ac:dyDescent="0.3">
      <c r="A2" s="920" t="s">
        <v>461</v>
      </c>
      <c r="B2" s="923" t="s">
        <v>462</v>
      </c>
      <c r="C2" s="914" t="s">
        <v>378</v>
      </c>
      <c r="D2" s="915"/>
      <c r="E2" s="915"/>
      <c r="F2" s="915"/>
      <c r="G2" s="915"/>
      <c r="H2" s="915"/>
      <c r="I2" s="915"/>
      <c r="J2" s="915"/>
      <c r="K2" s="916"/>
      <c r="L2" s="601"/>
      <c r="M2" s="541"/>
      <c r="N2" s="898" t="s">
        <v>464</v>
      </c>
      <c r="O2" s="905" t="s">
        <v>553</v>
      </c>
      <c r="P2" s="906"/>
      <c r="Q2" s="906"/>
      <c r="R2" s="907"/>
      <c r="S2" s="892" t="s">
        <v>554</v>
      </c>
      <c r="T2" s="893"/>
      <c r="U2" s="893"/>
      <c r="V2" s="893"/>
      <c r="W2" s="894"/>
    </row>
    <row r="3" spans="1:23" ht="24.75" customHeight="1" x14ac:dyDescent="0.25">
      <c r="A3" s="921"/>
      <c r="B3" s="924"/>
      <c r="C3" s="875" t="s">
        <v>465</v>
      </c>
      <c r="D3" s="876"/>
      <c r="E3" s="877"/>
      <c r="F3" s="878" t="s">
        <v>466</v>
      </c>
      <c r="G3" s="879"/>
      <c r="H3" s="880"/>
      <c r="I3" s="872" t="s">
        <v>538</v>
      </c>
      <c r="J3" s="881" t="s">
        <v>467</v>
      </c>
      <c r="K3" s="543" t="s">
        <v>468</v>
      </c>
      <c r="L3" s="917" t="s">
        <v>628</v>
      </c>
      <c r="M3" s="864" t="s">
        <v>463</v>
      </c>
      <c r="N3" s="899"/>
      <c r="O3" s="908"/>
      <c r="P3" s="909"/>
      <c r="Q3" s="909"/>
      <c r="R3" s="910"/>
      <c r="S3" s="895"/>
      <c r="T3" s="896"/>
      <c r="U3" s="896"/>
      <c r="V3" s="896"/>
      <c r="W3" s="897"/>
    </row>
    <row r="4" spans="1:23" ht="15.75" thickBot="1" x14ac:dyDescent="0.3">
      <c r="A4" s="921"/>
      <c r="B4" s="924"/>
      <c r="C4" s="884" t="s">
        <v>395</v>
      </c>
      <c r="D4" s="901" t="s">
        <v>469</v>
      </c>
      <c r="E4" s="902"/>
      <c r="F4" s="903" t="s">
        <v>470</v>
      </c>
      <c r="G4" s="870" t="s">
        <v>471</v>
      </c>
      <c r="H4" s="869" t="s">
        <v>537</v>
      </c>
      <c r="I4" s="873"/>
      <c r="J4" s="882"/>
      <c r="K4" s="926" t="s">
        <v>472</v>
      </c>
      <c r="L4" s="918"/>
      <c r="M4" s="865"/>
      <c r="N4" s="899"/>
      <c r="O4" s="908"/>
      <c r="P4" s="909"/>
      <c r="Q4" s="909"/>
      <c r="R4" s="910"/>
      <c r="S4" s="889"/>
      <c r="T4" s="890"/>
      <c r="U4" s="890"/>
      <c r="V4" s="890"/>
      <c r="W4" s="891"/>
    </row>
    <row r="5" spans="1:23" ht="43.5" customHeight="1" x14ac:dyDescent="0.25">
      <c r="A5" s="921"/>
      <c r="B5" s="924"/>
      <c r="C5" s="885"/>
      <c r="D5" s="929" t="s">
        <v>473</v>
      </c>
      <c r="E5" s="931" t="s">
        <v>474</v>
      </c>
      <c r="F5" s="903"/>
      <c r="G5" s="870"/>
      <c r="H5" s="870"/>
      <c r="I5" s="873"/>
      <c r="J5" s="882"/>
      <c r="K5" s="927"/>
      <c r="L5" s="918"/>
      <c r="M5" s="865"/>
      <c r="N5" s="899"/>
      <c r="O5" s="463" t="s">
        <v>135</v>
      </c>
      <c r="P5" s="911" t="s">
        <v>674</v>
      </c>
      <c r="Q5" s="912"/>
      <c r="R5" s="913"/>
      <c r="S5" s="475" t="s">
        <v>576</v>
      </c>
      <c r="T5" s="476" t="s">
        <v>681</v>
      </c>
      <c r="U5" s="477" t="s">
        <v>544</v>
      </c>
      <c r="V5" s="476" t="s">
        <v>680</v>
      </c>
      <c r="W5" s="606" t="s">
        <v>545</v>
      </c>
    </row>
    <row r="6" spans="1:23" ht="15" customHeight="1" thickBot="1" x14ac:dyDescent="0.3">
      <c r="A6" s="922"/>
      <c r="B6" s="925"/>
      <c r="C6" s="886"/>
      <c r="D6" s="930"/>
      <c r="E6" s="932"/>
      <c r="F6" s="904"/>
      <c r="G6" s="871"/>
      <c r="H6" s="871"/>
      <c r="I6" s="874"/>
      <c r="J6" s="883"/>
      <c r="K6" s="928"/>
      <c r="L6" s="919"/>
      <c r="M6" s="866"/>
      <c r="N6" s="900"/>
      <c r="O6" s="462" t="s">
        <v>673</v>
      </c>
      <c r="P6" s="466" t="s">
        <v>141</v>
      </c>
      <c r="Q6" s="458" t="s">
        <v>142</v>
      </c>
      <c r="R6" s="467" t="s">
        <v>549</v>
      </c>
      <c r="S6" s="889" t="s">
        <v>141</v>
      </c>
      <c r="T6" s="890"/>
      <c r="U6" s="891"/>
      <c r="V6" s="478" t="s">
        <v>550</v>
      </c>
      <c r="W6" s="479" t="s">
        <v>551</v>
      </c>
    </row>
    <row r="7" spans="1:23" ht="15.75" thickBot="1" x14ac:dyDescent="0.3">
      <c r="A7" s="428" t="s">
        <v>475</v>
      </c>
      <c r="B7" s="497"/>
      <c r="C7" s="444">
        <f>C9+C18+C25+C52</f>
        <v>11611641</v>
      </c>
      <c r="D7" s="429">
        <f>D18+D52+D9+D25</f>
        <v>10207266</v>
      </c>
      <c r="E7" s="445">
        <f>E9+E18+E25+E52</f>
        <v>1404375</v>
      </c>
      <c r="F7" s="444">
        <f>F9+F18+F25+F8+F52</f>
        <v>2633845</v>
      </c>
      <c r="G7" s="429">
        <f>G9+G18+G25+G52</f>
        <v>1195152</v>
      </c>
      <c r="H7" s="597">
        <f>H9+H18+H52</f>
        <v>596870</v>
      </c>
      <c r="I7" s="445">
        <f>I9+I18+I52</f>
        <v>891560</v>
      </c>
      <c r="J7" s="536">
        <f>J9+J18+J25+J52+J8</f>
        <v>16929068</v>
      </c>
      <c r="K7" s="536">
        <f>K9+K18+K25</f>
        <v>12660722</v>
      </c>
      <c r="L7" s="602">
        <f>L9+L18+L25</f>
        <v>13661</v>
      </c>
      <c r="M7" s="445">
        <f>M9+M18+M25+M52</f>
        <v>1538745</v>
      </c>
      <c r="N7" s="436">
        <f>N9+N18+N25+N52+N8</f>
        <v>18481474</v>
      </c>
      <c r="O7" s="422">
        <f>O9+O18+O25+O29+O51+O52+O53</f>
        <v>17016104</v>
      </c>
      <c r="P7" s="430">
        <f>P9+P18+P25+P29+P51+P53</f>
        <v>16351947</v>
      </c>
      <c r="Q7" s="431">
        <f>Q9+Q18+Q25+Q29+Q51</f>
        <v>664157</v>
      </c>
      <c r="R7" s="464"/>
      <c r="S7" s="430">
        <f>S9+S18+S25</f>
        <v>771690</v>
      </c>
      <c r="T7" s="431">
        <f>T9+T18+T25</f>
        <v>204630</v>
      </c>
      <c r="U7" s="464">
        <f>U9+U18+U25</f>
        <v>529920</v>
      </c>
      <c r="V7" s="422">
        <f>V9+V18</f>
        <v>497000</v>
      </c>
      <c r="W7" s="422">
        <f>W9+W18+W25</f>
        <v>69777</v>
      </c>
    </row>
    <row r="8" spans="1:23" ht="15.75" thickBot="1" x14ac:dyDescent="0.3">
      <c r="A8" s="424" t="s">
        <v>476</v>
      </c>
      <c r="B8" s="498" t="s">
        <v>477</v>
      </c>
      <c r="C8" s="506"/>
      <c r="D8" s="425"/>
      <c r="E8" s="529"/>
      <c r="F8" s="526">
        <v>6000</v>
      </c>
      <c r="G8" s="547"/>
      <c r="H8" s="546"/>
      <c r="I8" s="527"/>
      <c r="J8" s="537">
        <f>F8</f>
        <v>6000</v>
      </c>
      <c r="K8" s="544"/>
      <c r="L8" s="603"/>
      <c r="M8" s="545"/>
      <c r="N8" s="437">
        <f>J8</f>
        <v>6000</v>
      </c>
      <c r="O8" s="461"/>
      <c r="P8" s="426"/>
      <c r="Q8" s="427"/>
      <c r="R8" s="468"/>
      <c r="S8" s="480"/>
      <c r="T8" s="481"/>
      <c r="U8" s="482"/>
      <c r="V8" s="483"/>
      <c r="W8" s="483"/>
    </row>
    <row r="9" spans="1:23" ht="15.75" thickBot="1" x14ac:dyDescent="0.3">
      <c r="A9" s="388" t="s">
        <v>478</v>
      </c>
      <c r="B9" s="499" t="s">
        <v>479</v>
      </c>
      <c r="C9" s="446">
        <f>C10+C11+C12+C13+C14+C15+C16+C17</f>
        <v>2892302</v>
      </c>
      <c r="D9" s="446">
        <f>D10+D11+D12+D13+D14+D15+D16+D17</f>
        <v>2619525</v>
      </c>
      <c r="E9" s="530">
        <f t="shared" ref="E9:Q9" si="0">E10+E11+E12+E13+E14+E15+E16+E17</f>
        <v>272777</v>
      </c>
      <c r="F9" s="446">
        <f>F10+F11+F12+F13+F14+F15+F16+F17</f>
        <v>417736</v>
      </c>
      <c r="G9" s="599">
        <f t="shared" si="0"/>
        <v>235197</v>
      </c>
      <c r="H9" s="598">
        <f t="shared" si="0"/>
        <v>236254</v>
      </c>
      <c r="I9" s="447">
        <f t="shared" si="0"/>
        <v>74470</v>
      </c>
      <c r="J9" s="530">
        <f>J10+J11+J12+J13+J14+J15+J16+J17</f>
        <v>3855959</v>
      </c>
      <c r="K9" s="531">
        <f>K10+K11+K12+K13+K14+K15+K16+K17</f>
        <v>3037261</v>
      </c>
      <c r="L9" s="531">
        <f>SUM(L10:L17)</f>
        <v>13661</v>
      </c>
      <c r="M9" s="447">
        <f t="shared" si="0"/>
        <v>423157</v>
      </c>
      <c r="N9" s="438">
        <f t="shared" si="0"/>
        <v>4292777</v>
      </c>
      <c r="O9" s="423">
        <f t="shared" si="0"/>
        <v>3058273</v>
      </c>
      <c r="P9" s="389">
        <f t="shared" si="0"/>
        <v>3037261</v>
      </c>
      <c r="Q9" s="390">
        <f t="shared" si="0"/>
        <v>21012</v>
      </c>
      <c r="R9" s="465"/>
      <c r="S9" s="389">
        <f>SUM(S10:S17)</f>
        <v>174000</v>
      </c>
      <c r="T9" s="390">
        <f>SUM(T10:T17)</f>
        <v>330</v>
      </c>
      <c r="U9" s="465">
        <f>SUM(U10:U17)</f>
        <v>225920</v>
      </c>
      <c r="V9" s="423">
        <f>SUM(V10:V17)</f>
        <v>213000</v>
      </c>
      <c r="W9" s="423">
        <f>SUM(W10:W17)</f>
        <v>23346</v>
      </c>
    </row>
    <row r="10" spans="1:23" x14ac:dyDescent="0.25">
      <c r="A10" s="609" t="s">
        <v>480</v>
      </c>
      <c r="B10" s="610" t="s">
        <v>481</v>
      </c>
      <c r="C10" s="649">
        <f>E10+D10</f>
        <v>325309</v>
      </c>
      <c r="D10" s="650">
        <f>297262+3687</f>
        <v>300949</v>
      </c>
      <c r="E10" s="651">
        <f>23960+400</f>
        <v>24360</v>
      </c>
      <c r="F10" s="451">
        <v>50231</v>
      </c>
      <c r="G10" s="392">
        <f>18100+2400</f>
        <v>20500</v>
      </c>
      <c r="H10" s="391">
        <v>23040</v>
      </c>
      <c r="I10" s="652">
        <v>8500</v>
      </c>
      <c r="J10" s="538">
        <f>C10+F10+G10+H10+I10</f>
        <v>427580</v>
      </c>
      <c r="K10" s="653">
        <f>F10+D10</f>
        <v>351180</v>
      </c>
      <c r="L10" s="654"/>
      <c r="M10" s="651"/>
      <c r="N10" s="392">
        <f t="shared" ref="N10:N17" si="1">J10+M10</f>
        <v>427580</v>
      </c>
      <c r="O10" s="612">
        <f>P10+Q10</f>
        <v>351180</v>
      </c>
      <c r="P10" s="613">
        <f t="shared" ref="P10:P16" si="2">K10</f>
        <v>351180</v>
      </c>
      <c r="Q10" s="395"/>
      <c r="R10" s="655"/>
      <c r="S10" s="613">
        <f>18100+2400</f>
        <v>20500</v>
      </c>
      <c r="T10" s="393"/>
      <c r="U10" s="395">
        <v>23000</v>
      </c>
      <c r="V10" s="612"/>
      <c r="W10" s="655">
        <v>40</v>
      </c>
    </row>
    <row r="11" spans="1:23" x14ac:dyDescent="0.25">
      <c r="A11" s="614" t="s">
        <v>482</v>
      </c>
      <c r="B11" s="615" t="s">
        <v>483</v>
      </c>
      <c r="C11" s="656">
        <f t="shared" ref="C11:C17" si="3">E11+D11</f>
        <v>447715</v>
      </c>
      <c r="D11" s="394">
        <f>383627+33463</f>
        <v>417090</v>
      </c>
      <c r="E11" s="449">
        <f>23960+6584+81</f>
        <v>30625</v>
      </c>
      <c r="F11" s="448">
        <v>94160</v>
      </c>
      <c r="G11" s="439">
        <f>35700+15500-2000</f>
        <v>49200</v>
      </c>
      <c r="H11" s="391">
        <v>42645</v>
      </c>
      <c r="I11" s="652">
        <v>12350</v>
      </c>
      <c r="J11" s="538">
        <f t="shared" ref="J11:J16" si="4">C11+F11+G11+H11+I11</f>
        <v>646070</v>
      </c>
      <c r="K11" s="539">
        <f t="shared" ref="K11:K17" si="5">F11+D11</f>
        <v>511250</v>
      </c>
      <c r="L11" s="532">
        <f>13661</f>
        <v>13661</v>
      </c>
      <c r="M11" s="449">
        <v>221000</v>
      </c>
      <c r="N11" s="392">
        <f>J11+M11+L11</f>
        <v>880731</v>
      </c>
      <c r="O11" s="616">
        <f t="shared" ref="O11:O17" si="6">P11+Q11</f>
        <v>519250</v>
      </c>
      <c r="P11" s="657">
        <f>K11</f>
        <v>511250</v>
      </c>
      <c r="Q11" s="395">
        <v>8000</v>
      </c>
      <c r="R11" s="658"/>
      <c r="S11" s="657">
        <f>35700-2000</f>
        <v>33700</v>
      </c>
      <c r="T11" s="395"/>
      <c r="U11" s="395">
        <v>42340</v>
      </c>
      <c r="V11" s="616">
        <v>213000</v>
      </c>
      <c r="W11" s="658">
        <v>305</v>
      </c>
    </row>
    <row r="12" spans="1:23" x14ac:dyDescent="0.25">
      <c r="A12" s="614" t="s">
        <v>484</v>
      </c>
      <c r="B12" s="615" t="s">
        <v>485</v>
      </c>
      <c r="C12" s="656">
        <f t="shared" si="3"/>
        <v>821601</v>
      </c>
      <c r="D12" s="394">
        <f>712929+27347</f>
        <v>740276</v>
      </c>
      <c r="E12" s="449">
        <f>73053+8272</f>
        <v>81325</v>
      </c>
      <c r="F12" s="448">
        <v>92436</v>
      </c>
      <c r="G12" s="439">
        <v>46300</v>
      </c>
      <c r="H12" s="391">
        <v>62427</v>
      </c>
      <c r="I12" s="652">
        <v>25050</v>
      </c>
      <c r="J12" s="538">
        <f t="shared" si="4"/>
        <v>1047814</v>
      </c>
      <c r="K12" s="539">
        <f t="shared" si="5"/>
        <v>832712</v>
      </c>
      <c r="L12" s="532"/>
      <c r="M12" s="449"/>
      <c r="N12" s="392">
        <f>J12+M12+L12</f>
        <v>1047814</v>
      </c>
      <c r="O12" s="616">
        <f t="shared" si="6"/>
        <v>832712</v>
      </c>
      <c r="P12" s="657">
        <f t="shared" si="2"/>
        <v>832712</v>
      </c>
      <c r="Q12" s="395"/>
      <c r="R12" s="658"/>
      <c r="S12" s="657">
        <v>46300</v>
      </c>
      <c r="T12" s="395"/>
      <c r="U12" s="395">
        <v>60200</v>
      </c>
      <c r="V12" s="616"/>
      <c r="W12" s="658">
        <v>2227</v>
      </c>
    </row>
    <row r="13" spans="1:23" x14ac:dyDescent="0.25">
      <c r="A13" s="614" t="s">
        <v>486</v>
      </c>
      <c r="B13" s="615" t="s">
        <v>487</v>
      </c>
      <c r="C13" s="656">
        <f t="shared" si="3"/>
        <v>0</v>
      </c>
      <c r="D13" s="394"/>
      <c r="E13" s="449">
        <v>0</v>
      </c>
      <c r="F13" s="448">
        <v>0</v>
      </c>
      <c r="G13" s="439">
        <v>0</v>
      </c>
      <c r="H13" s="391">
        <f t="shared" ref="H13" si="7">U13+W13</f>
        <v>0</v>
      </c>
      <c r="I13" s="652"/>
      <c r="J13" s="538">
        <f t="shared" si="4"/>
        <v>0</v>
      </c>
      <c r="K13" s="539">
        <f t="shared" si="5"/>
        <v>0</v>
      </c>
      <c r="L13" s="532"/>
      <c r="M13" s="449"/>
      <c r="N13" s="392">
        <f t="shared" si="1"/>
        <v>0</v>
      </c>
      <c r="O13" s="659">
        <f t="shared" si="6"/>
        <v>0</v>
      </c>
      <c r="P13" s="657">
        <f t="shared" si="2"/>
        <v>0</v>
      </c>
      <c r="Q13" s="395"/>
      <c r="R13" s="658"/>
      <c r="S13" s="657"/>
      <c r="T13" s="395"/>
      <c r="U13" s="395"/>
      <c r="V13" s="616"/>
      <c r="W13" s="658"/>
    </row>
    <row r="14" spans="1:23" x14ac:dyDescent="0.25">
      <c r="A14" s="614" t="s">
        <v>488</v>
      </c>
      <c r="B14" s="615" t="s">
        <v>489</v>
      </c>
      <c r="C14" s="656">
        <f t="shared" si="3"/>
        <v>389250</v>
      </c>
      <c r="D14" s="394">
        <f>342717+18261</f>
        <v>360978</v>
      </c>
      <c r="E14" s="449">
        <f>26626+1646</f>
        <v>28272</v>
      </c>
      <c r="F14" s="448">
        <f>59239+6648</f>
        <v>65887</v>
      </c>
      <c r="G14" s="439">
        <v>24200</v>
      </c>
      <c r="H14" s="391">
        <v>29243</v>
      </c>
      <c r="I14" s="652">
        <v>9500</v>
      </c>
      <c r="J14" s="538">
        <f t="shared" si="4"/>
        <v>518080</v>
      </c>
      <c r="K14" s="539">
        <f>F14+D14</f>
        <v>426865</v>
      </c>
      <c r="L14" s="532"/>
      <c r="M14" s="449">
        <v>118000</v>
      </c>
      <c r="N14" s="392">
        <f t="shared" si="1"/>
        <v>636080</v>
      </c>
      <c r="O14" s="616">
        <f t="shared" si="6"/>
        <v>426865</v>
      </c>
      <c r="P14" s="657">
        <f>K14</f>
        <v>426865</v>
      </c>
      <c r="Q14" s="395"/>
      <c r="R14" s="658"/>
      <c r="S14" s="657">
        <v>24200</v>
      </c>
      <c r="T14" s="395"/>
      <c r="U14" s="395">
        <v>29000</v>
      </c>
      <c r="V14" s="616"/>
      <c r="W14" s="658">
        <v>243</v>
      </c>
    </row>
    <row r="15" spans="1:23" x14ac:dyDescent="0.25">
      <c r="A15" s="614" t="s">
        <v>490</v>
      </c>
      <c r="B15" s="615" t="s">
        <v>491</v>
      </c>
      <c r="C15" s="656">
        <f t="shared" si="3"/>
        <v>447454</v>
      </c>
      <c r="D15" s="394">
        <f>367581+30388</f>
        <v>397969</v>
      </c>
      <c r="E15" s="449">
        <f>43052+5833+600</f>
        <v>49485</v>
      </c>
      <c r="F15" s="448">
        <v>61068</v>
      </c>
      <c r="G15" s="439">
        <f>24800+45500-133+150</f>
        <v>70317</v>
      </c>
      <c r="H15" s="391">
        <v>41690</v>
      </c>
      <c r="I15" s="652">
        <v>8470</v>
      </c>
      <c r="J15" s="538">
        <f t="shared" si="4"/>
        <v>628999</v>
      </c>
      <c r="K15" s="539">
        <f t="shared" si="5"/>
        <v>459037</v>
      </c>
      <c r="L15" s="532"/>
      <c r="M15" s="449">
        <f>13012+133+13012</f>
        <v>26157</v>
      </c>
      <c r="N15" s="392">
        <f t="shared" si="1"/>
        <v>655156</v>
      </c>
      <c r="O15" s="616">
        <f t="shared" si="6"/>
        <v>472049</v>
      </c>
      <c r="P15" s="657">
        <f t="shared" si="2"/>
        <v>459037</v>
      </c>
      <c r="Q15" s="395">
        <v>13012</v>
      </c>
      <c r="R15" s="658"/>
      <c r="S15" s="657">
        <v>24800</v>
      </c>
      <c r="T15" s="395">
        <v>150</v>
      </c>
      <c r="U15" s="395">
        <f>33396+5604</f>
        <v>39000</v>
      </c>
      <c r="V15" s="616"/>
      <c r="W15" s="658">
        <f>2690+13012</f>
        <v>15702</v>
      </c>
    </row>
    <row r="16" spans="1:23" x14ac:dyDescent="0.25">
      <c r="A16" s="617" t="s">
        <v>492</v>
      </c>
      <c r="B16" s="618" t="s">
        <v>493</v>
      </c>
      <c r="C16" s="656">
        <f t="shared" si="3"/>
        <v>460973</v>
      </c>
      <c r="D16" s="396">
        <f>388837+13426</f>
        <v>402263</v>
      </c>
      <c r="E16" s="453">
        <f>45542+13168</f>
        <v>58710</v>
      </c>
      <c r="F16" s="450">
        <v>53954</v>
      </c>
      <c r="G16" s="441">
        <f>22900+1600+180</f>
        <v>24680</v>
      </c>
      <c r="H16" s="391">
        <v>37209</v>
      </c>
      <c r="I16" s="660">
        <v>10600</v>
      </c>
      <c r="J16" s="538">
        <f t="shared" si="4"/>
        <v>587416</v>
      </c>
      <c r="K16" s="539">
        <f t="shared" si="5"/>
        <v>456217</v>
      </c>
      <c r="L16" s="533"/>
      <c r="M16" s="449">
        <v>58000</v>
      </c>
      <c r="N16" s="392">
        <f t="shared" si="1"/>
        <v>645416</v>
      </c>
      <c r="O16" s="616">
        <f t="shared" si="6"/>
        <v>456217</v>
      </c>
      <c r="P16" s="657">
        <f t="shared" si="2"/>
        <v>456217</v>
      </c>
      <c r="Q16" s="395"/>
      <c r="R16" s="658"/>
      <c r="S16" s="657">
        <f>22900+1600</f>
        <v>24500</v>
      </c>
      <c r="T16" s="395">
        <v>180</v>
      </c>
      <c r="U16" s="395">
        <v>32380</v>
      </c>
      <c r="V16" s="616"/>
      <c r="W16" s="658">
        <v>4829</v>
      </c>
    </row>
    <row r="17" spans="1:27" ht="15.75" thickBot="1" x14ac:dyDescent="0.3">
      <c r="A17" s="617" t="s">
        <v>494</v>
      </c>
      <c r="B17" s="618" t="s">
        <v>495</v>
      </c>
      <c r="C17" s="661">
        <f t="shared" si="3"/>
        <v>0</v>
      </c>
      <c r="D17" s="396"/>
      <c r="E17" s="453">
        <v>0</v>
      </c>
      <c r="F17" s="450">
        <v>0</v>
      </c>
      <c r="G17" s="662">
        <v>0</v>
      </c>
      <c r="H17" s="663"/>
      <c r="I17" s="664"/>
      <c r="J17" s="538">
        <f>C17+F17+G17+H17</f>
        <v>0</v>
      </c>
      <c r="K17" s="534">
        <f t="shared" si="5"/>
        <v>0</v>
      </c>
      <c r="L17" s="665"/>
      <c r="M17" s="666"/>
      <c r="N17" s="392">
        <f t="shared" si="1"/>
        <v>0</v>
      </c>
      <c r="O17" s="667">
        <f t="shared" si="6"/>
        <v>0</v>
      </c>
      <c r="P17" s="668"/>
      <c r="Q17" s="387"/>
      <c r="R17" s="669"/>
      <c r="S17" s="670"/>
      <c r="T17" s="671"/>
      <c r="U17" s="672"/>
      <c r="V17" s="673"/>
      <c r="W17" s="673"/>
    </row>
    <row r="18" spans="1:27" ht="15.75" thickBot="1" x14ac:dyDescent="0.3">
      <c r="A18" s="397" t="s">
        <v>496</v>
      </c>
      <c r="B18" s="500" t="s">
        <v>497</v>
      </c>
      <c r="C18" s="389">
        <f t="shared" ref="C18:K18" si="8">C19+C20+C21+C22+C23+C24</f>
        <v>8353402</v>
      </c>
      <c r="D18" s="390">
        <f t="shared" si="8"/>
        <v>7432798</v>
      </c>
      <c r="E18" s="674">
        <f t="shared" si="8"/>
        <v>920604</v>
      </c>
      <c r="F18" s="389">
        <f t="shared" si="8"/>
        <v>1111763</v>
      </c>
      <c r="G18" s="390">
        <f t="shared" si="8"/>
        <v>483385</v>
      </c>
      <c r="H18" s="675">
        <f t="shared" si="8"/>
        <v>340536</v>
      </c>
      <c r="I18" s="674">
        <f t="shared" si="8"/>
        <v>709770</v>
      </c>
      <c r="J18" s="423">
        <f>J19+J20+J21+J22+J23+J24</f>
        <v>10998856</v>
      </c>
      <c r="K18" s="465">
        <f t="shared" si="8"/>
        <v>8544561</v>
      </c>
      <c r="L18" s="465">
        <f>SUM(L19:L24)</f>
        <v>0</v>
      </c>
      <c r="M18" s="674">
        <f>M19+M20+M21+M22+M23+M24</f>
        <v>1035600</v>
      </c>
      <c r="N18" s="676">
        <f>N19+N20+N21+N22+N23+N24</f>
        <v>12034456</v>
      </c>
      <c r="O18" s="423">
        <f>O19+O20+O21+O22+O23+O24</f>
        <v>8677561</v>
      </c>
      <c r="P18" s="389">
        <f>P19+P20+P21+P22+P23+P24</f>
        <v>8544561</v>
      </c>
      <c r="Q18" s="390">
        <f>Q19+Q20+Q21+Q22+Q23+Q24</f>
        <v>133000</v>
      </c>
      <c r="R18" s="465"/>
      <c r="S18" s="389">
        <f>SUM(S19:S24)</f>
        <v>382690</v>
      </c>
      <c r="T18" s="390">
        <f>SUM(T19:T24)</f>
        <v>4300</v>
      </c>
      <c r="U18" s="465">
        <f>SUM(U19:U24)</f>
        <v>304000</v>
      </c>
      <c r="V18" s="423">
        <f>SUM(V19:V24)</f>
        <v>284000</v>
      </c>
      <c r="W18" s="423">
        <f>SUM(W19:W24)</f>
        <v>46431</v>
      </c>
    </row>
    <row r="19" spans="1:27" x14ac:dyDescent="0.25">
      <c r="A19" s="609" t="s">
        <v>498</v>
      </c>
      <c r="B19" s="610" t="s">
        <v>499</v>
      </c>
      <c r="C19" s="677">
        <f t="shared" ref="C19:C24" si="9">D19+E19</f>
        <v>813419</v>
      </c>
      <c r="D19" s="650">
        <f>723200-11169</f>
        <v>712031</v>
      </c>
      <c r="E19" s="811">
        <f>99703+1685</f>
        <v>101388</v>
      </c>
      <c r="F19" s="451">
        <v>86789</v>
      </c>
      <c r="G19" s="652">
        <f>26030+11500</f>
        <v>37530</v>
      </c>
      <c r="H19" s="391">
        <f>43000+3034</f>
        <v>46034</v>
      </c>
      <c r="I19" s="652">
        <v>54000</v>
      </c>
      <c r="J19" s="538">
        <f t="shared" ref="J19:J24" si="10">C19+F19+G19+H19+I19</f>
        <v>1037772</v>
      </c>
      <c r="K19" s="534">
        <f t="shared" ref="K19:K23" si="11">D19+F19</f>
        <v>798820</v>
      </c>
      <c r="L19" s="534"/>
      <c r="M19" s="452"/>
      <c r="N19" s="392">
        <f t="shared" ref="N19:N24" si="12">J19+M19</f>
        <v>1037772</v>
      </c>
      <c r="O19" s="612">
        <f t="shared" ref="O19:O24" si="13">P19+Q19</f>
        <v>798820</v>
      </c>
      <c r="P19" s="613">
        <f t="shared" ref="P19:P24" si="14">K19</f>
        <v>798820</v>
      </c>
      <c r="Q19" s="393"/>
      <c r="R19" s="655"/>
      <c r="S19" s="613">
        <v>26030</v>
      </c>
      <c r="T19" s="393"/>
      <c r="U19" s="395">
        <v>43000</v>
      </c>
      <c r="V19" s="612"/>
      <c r="W19" s="658">
        <v>3034</v>
      </c>
    </row>
    <row r="20" spans="1:27" x14ac:dyDescent="0.25">
      <c r="A20" s="614" t="s">
        <v>500</v>
      </c>
      <c r="B20" s="615" t="s">
        <v>501</v>
      </c>
      <c r="C20" s="448">
        <f t="shared" si="9"/>
        <v>1240387</v>
      </c>
      <c r="D20" s="394">
        <v>1121123</v>
      </c>
      <c r="E20" s="660">
        <f>106108+13156</f>
        <v>119264</v>
      </c>
      <c r="F20" s="448">
        <v>188397</v>
      </c>
      <c r="G20" s="660">
        <f>54200+1800+9895+6260</f>
        <v>72155</v>
      </c>
      <c r="H20" s="391">
        <f>61000+7335</f>
        <v>68335</v>
      </c>
      <c r="I20" s="652">
        <v>136070</v>
      </c>
      <c r="J20" s="538">
        <f t="shared" si="10"/>
        <v>1705344</v>
      </c>
      <c r="K20" s="532">
        <f t="shared" si="11"/>
        <v>1309520</v>
      </c>
      <c r="L20" s="532"/>
      <c r="M20" s="449">
        <v>241000</v>
      </c>
      <c r="N20" s="392">
        <f t="shared" si="12"/>
        <v>1946344</v>
      </c>
      <c r="O20" s="616">
        <f t="shared" si="13"/>
        <v>1309520</v>
      </c>
      <c r="P20" s="657">
        <f t="shared" si="14"/>
        <v>1309520</v>
      </c>
      <c r="Q20" s="393"/>
      <c r="R20" s="655"/>
      <c r="S20" s="657">
        <f>54200+6260</f>
        <v>60460</v>
      </c>
      <c r="T20" s="395">
        <v>1800</v>
      </c>
      <c r="U20" s="395">
        <v>61000</v>
      </c>
      <c r="V20" s="616"/>
      <c r="W20" s="658">
        <f>7335+9895</f>
        <v>17230</v>
      </c>
    </row>
    <row r="21" spans="1:27" x14ac:dyDescent="0.25">
      <c r="A21" s="614" t="s">
        <v>502</v>
      </c>
      <c r="B21" s="615" t="s">
        <v>503</v>
      </c>
      <c r="C21" s="448">
        <f t="shared" si="9"/>
        <v>2103685</v>
      </c>
      <c r="D21" s="394">
        <f>1844800+32933</f>
        <v>1877733</v>
      </c>
      <c r="E21" s="660">
        <f>229997-4045</f>
        <v>225952</v>
      </c>
      <c r="F21" s="448">
        <f>285072+5000</f>
        <v>290072</v>
      </c>
      <c r="G21" s="660">
        <v>69600</v>
      </c>
      <c r="H21" s="391">
        <f>65000+3958</f>
        <v>68958</v>
      </c>
      <c r="I21" s="652">
        <v>142000</v>
      </c>
      <c r="J21" s="538">
        <f t="shared" si="10"/>
        <v>2674315</v>
      </c>
      <c r="K21" s="532">
        <f t="shared" si="11"/>
        <v>2167805</v>
      </c>
      <c r="L21" s="532"/>
      <c r="M21" s="449">
        <f>133000+169000+115000</f>
        <v>417000</v>
      </c>
      <c r="N21" s="392">
        <f t="shared" si="12"/>
        <v>3091315</v>
      </c>
      <c r="O21" s="616">
        <f t="shared" si="13"/>
        <v>2300805</v>
      </c>
      <c r="P21" s="657">
        <f t="shared" si="14"/>
        <v>2167805</v>
      </c>
      <c r="Q21" s="393">
        <v>133000</v>
      </c>
      <c r="R21" s="655"/>
      <c r="S21" s="657">
        <v>69600</v>
      </c>
      <c r="T21" s="395"/>
      <c r="U21" s="395">
        <v>65000</v>
      </c>
      <c r="V21" s="616">
        <v>284000</v>
      </c>
      <c r="W21" s="658">
        <v>3958</v>
      </c>
    </row>
    <row r="22" spans="1:27" x14ac:dyDescent="0.25">
      <c r="A22" s="614" t="s">
        <v>504</v>
      </c>
      <c r="B22" s="615" t="s">
        <v>505</v>
      </c>
      <c r="C22" s="448">
        <f t="shared" si="9"/>
        <v>1881900</v>
      </c>
      <c r="D22" s="394">
        <f>1534560+126169-10000</f>
        <v>1650729</v>
      </c>
      <c r="E22" s="660">
        <f>235412-4241</f>
        <v>231171</v>
      </c>
      <c r="F22" s="448">
        <f>245653-5000-5000</f>
        <v>235653</v>
      </c>
      <c r="G22" s="660">
        <f>120000+60000+2500+15000</f>
        <v>197500</v>
      </c>
      <c r="H22" s="391">
        <f>35000+17269</f>
        <v>52269</v>
      </c>
      <c r="I22" s="652">
        <f>170000+10000</f>
        <v>180000</v>
      </c>
      <c r="J22" s="538">
        <f t="shared" si="10"/>
        <v>2547322</v>
      </c>
      <c r="K22" s="532">
        <f t="shared" si="11"/>
        <v>1886382</v>
      </c>
      <c r="L22" s="532"/>
      <c r="M22" s="449">
        <f>395000-17400</f>
        <v>377600</v>
      </c>
      <c r="N22" s="392">
        <f t="shared" si="12"/>
        <v>2924922</v>
      </c>
      <c r="O22" s="616">
        <f t="shared" si="13"/>
        <v>1886382</v>
      </c>
      <c r="P22" s="657">
        <f t="shared" si="14"/>
        <v>1886382</v>
      </c>
      <c r="Q22" s="393"/>
      <c r="R22" s="655"/>
      <c r="S22" s="657">
        <v>120000</v>
      </c>
      <c r="T22" s="395">
        <v>2500</v>
      </c>
      <c r="U22" s="395">
        <v>35000</v>
      </c>
      <c r="V22" s="616"/>
      <c r="W22" s="658">
        <v>17269</v>
      </c>
    </row>
    <row r="23" spans="1:27" x14ac:dyDescent="0.25">
      <c r="A23" s="614" t="s">
        <v>506</v>
      </c>
      <c r="B23" s="615" t="s">
        <v>507</v>
      </c>
      <c r="C23" s="448">
        <f t="shared" si="9"/>
        <v>1461593</v>
      </c>
      <c r="D23" s="394">
        <f>1250540+31250+10000</f>
        <v>1291790</v>
      </c>
      <c r="E23" s="660">
        <f>169815-12</f>
        <v>169803</v>
      </c>
      <c r="F23" s="448">
        <f>224511+10000+12000</f>
        <v>246511</v>
      </c>
      <c r="G23" s="660">
        <v>75600</v>
      </c>
      <c r="H23" s="391">
        <f>100000+4940</f>
        <v>104940</v>
      </c>
      <c r="I23" s="652">
        <v>137700</v>
      </c>
      <c r="J23" s="538">
        <f t="shared" si="10"/>
        <v>2026344</v>
      </c>
      <c r="K23" s="532">
        <f t="shared" si="11"/>
        <v>1538301</v>
      </c>
      <c r="L23" s="532"/>
      <c r="M23" s="449"/>
      <c r="N23" s="392">
        <f t="shared" si="12"/>
        <v>2026344</v>
      </c>
      <c r="O23" s="616">
        <f t="shared" si="13"/>
        <v>1538301</v>
      </c>
      <c r="P23" s="657">
        <f t="shared" si="14"/>
        <v>1538301</v>
      </c>
      <c r="Q23" s="395">
        <f>M23</f>
        <v>0</v>
      </c>
      <c r="R23" s="658"/>
      <c r="S23" s="657">
        <v>75600</v>
      </c>
      <c r="T23" s="395"/>
      <c r="U23" s="395">
        <v>100000</v>
      </c>
      <c r="V23" s="616"/>
      <c r="W23" s="658">
        <v>4940</v>
      </c>
      <c r="AA23" s="1"/>
    </row>
    <row r="24" spans="1:27" ht="15.75" thickBot="1" x14ac:dyDescent="0.3">
      <c r="A24" s="617" t="s">
        <v>508</v>
      </c>
      <c r="B24" s="618" t="s">
        <v>509</v>
      </c>
      <c r="C24" s="678">
        <f t="shared" si="9"/>
        <v>852418</v>
      </c>
      <c r="D24" s="662">
        <f>806942-27550</f>
        <v>779392</v>
      </c>
      <c r="E24" s="679">
        <f>71590+1436</f>
        <v>73026</v>
      </c>
      <c r="F24" s="678">
        <f>69341-5000</f>
        <v>64341</v>
      </c>
      <c r="G24" s="679">
        <v>31000</v>
      </c>
      <c r="H24" s="396"/>
      <c r="I24" s="680">
        <v>60000</v>
      </c>
      <c r="J24" s="538">
        <f t="shared" si="10"/>
        <v>1007759</v>
      </c>
      <c r="K24" s="533">
        <f>D24+F24</f>
        <v>843733</v>
      </c>
      <c r="L24" s="533"/>
      <c r="M24" s="453"/>
      <c r="N24" s="392">
        <f t="shared" si="12"/>
        <v>1007759</v>
      </c>
      <c r="O24" s="667">
        <f t="shared" si="13"/>
        <v>843733</v>
      </c>
      <c r="P24" s="668">
        <f t="shared" si="14"/>
        <v>843733</v>
      </c>
      <c r="Q24" s="387"/>
      <c r="R24" s="669"/>
      <c r="S24" s="657">
        <v>31000</v>
      </c>
      <c r="T24" s="395"/>
      <c r="U24" s="395"/>
      <c r="V24" s="461"/>
      <c r="W24" s="612"/>
    </row>
    <row r="25" spans="1:27" ht="15.75" thickBot="1" x14ac:dyDescent="0.3">
      <c r="A25" s="398" t="s">
        <v>510</v>
      </c>
      <c r="B25" s="501" t="s">
        <v>511</v>
      </c>
      <c r="C25" s="389">
        <f>C27+C28</f>
        <v>3302</v>
      </c>
      <c r="D25" s="389">
        <f>D27+D28+D26</f>
        <v>0</v>
      </c>
      <c r="E25" s="674">
        <f>E26+E27+E28</f>
        <v>3302</v>
      </c>
      <c r="F25" s="389">
        <f>F26+F27</f>
        <v>1078900</v>
      </c>
      <c r="G25" s="390">
        <f>G26+G27</f>
        <v>415000</v>
      </c>
      <c r="H25" s="675"/>
      <c r="I25" s="674"/>
      <c r="J25" s="423">
        <f>J26+J27+J28</f>
        <v>1497202</v>
      </c>
      <c r="K25" s="465">
        <f>K26+K27</f>
        <v>1078900</v>
      </c>
      <c r="L25" s="465">
        <f>SUM(L26:L28)</f>
        <v>0</v>
      </c>
      <c r="M25" s="674">
        <f>M26+M27</f>
        <v>53000</v>
      </c>
      <c r="N25" s="676">
        <f>N26+N27+N28</f>
        <v>1550202</v>
      </c>
      <c r="O25" s="423">
        <f>O26+O27</f>
        <v>1078900</v>
      </c>
      <c r="P25" s="389">
        <f>P26+P27</f>
        <v>1078900</v>
      </c>
      <c r="Q25" s="390">
        <f>Q26+Q27</f>
        <v>0</v>
      </c>
      <c r="R25" s="465"/>
      <c r="S25" s="389">
        <f>SUM(S26:S28)</f>
        <v>215000</v>
      </c>
      <c r="T25" s="390">
        <f>SUM(T26:T28)</f>
        <v>200000</v>
      </c>
      <c r="U25" s="465">
        <f>SUM(U26:U28)</f>
        <v>0</v>
      </c>
      <c r="V25" s="432"/>
      <c r="W25" s="432">
        <f>SUM(W26:W28)</f>
        <v>0</v>
      </c>
    </row>
    <row r="26" spans="1:27" x14ac:dyDescent="0.25">
      <c r="A26" s="609" t="s">
        <v>512</v>
      </c>
      <c r="B26" s="610" t="s">
        <v>513</v>
      </c>
      <c r="C26" s="448">
        <f>E26+D26</f>
        <v>0</v>
      </c>
      <c r="D26" s="650"/>
      <c r="E26" s="651">
        <v>0</v>
      </c>
      <c r="F26" s="677">
        <v>815500</v>
      </c>
      <c r="G26" s="650">
        <v>95000</v>
      </c>
      <c r="H26" s="611"/>
      <c r="I26" s="452"/>
      <c r="J26" s="538">
        <f>F26+G26+C26</f>
        <v>910500</v>
      </c>
      <c r="K26" s="534">
        <f>F26+D26</f>
        <v>815500</v>
      </c>
      <c r="L26" s="534"/>
      <c r="M26" s="452">
        <v>53000</v>
      </c>
      <c r="N26" s="392">
        <f>J26+M26</f>
        <v>963500</v>
      </c>
      <c r="O26" s="612">
        <f>P26+Q26</f>
        <v>815500</v>
      </c>
      <c r="P26" s="613">
        <f>F26+D26</f>
        <v>815500</v>
      </c>
      <c r="Q26" s="393"/>
      <c r="R26" s="655"/>
      <c r="S26" s="613">
        <v>95000</v>
      </c>
      <c r="T26" s="681"/>
      <c r="U26" s="682"/>
      <c r="V26" s="619"/>
      <c r="W26" s="683"/>
    </row>
    <row r="27" spans="1:27" x14ac:dyDescent="0.25">
      <c r="A27" s="614" t="s">
        <v>514</v>
      </c>
      <c r="B27" s="615" t="s">
        <v>515</v>
      </c>
      <c r="C27" s="448">
        <f>E27+D27</f>
        <v>3232</v>
      </c>
      <c r="D27" s="394"/>
      <c r="E27" s="449">
        <v>3232</v>
      </c>
      <c r="F27" s="448">
        <f>270400-7000</f>
        <v>263400</v>
      </c>
      <c r="G27" s="394">
        <v>320000</v>
      </c>
      <c r="H27" s="684"/>
      <c r="I27" s="449"/>
      <c r="J27" s="538">
        <f>F27+G27+C27</f>
        <v>586632</v>
      </c>
      <c r="K27" s="532">
        <f>F27+D27</f>
        <v>263400</v>
      </c>
      <c r="L27" s="532"/>
      <c r="M27" s="449"/>
      <c r="N27" s="439">
        <f>J27+M27</f>
        <v>586632</v>
      </c>
      <c r="O27" s="616">
        <f>P27+Q27</f>
        <v>263400</v>
      </c>
      <c r="P27" s="613">
        <f>F27+D27</f>
        <v>263400</v>
      </c>
      <c r="Q27" s="395"/>
      <c r="R27" s="658"/>
      <c r="S27" s="657">
        <v>120000</v>
      </c>
      <c r="T27" s="395">
        <v>200000</v>
      </c>
      <c r="U27" s="685"/>
      <c r="V27" s="686"/>
      <c r="W27" s="687"/>
    </row>
    <row r="28" spans="1:27" ht="15.75" thickBot="1" x14ac:dyDescent="0.3">
      <c r="A28" s="609"/>
      <c r="B28" s="610" t="s">
        <v>516</v>
      </c>
      <c r="C28" s="451">
        <f>E28</f>
        <v>70</v>
      </c>
      <c r="D28" s="391"/>
      <c r="E28" s="452">
        <v>70</v>
      </c>
      <c r="F28" s="620"/>
      <c r="G28" s="621"/>
      <c r="H28" s="611"/>
      <c r="I28" s="452"/>
      <c r="J28" s="538">
        <f>C28+F28+G28</f>
        <v>70</v>
      </c>
      <c r="K28" s="534"/>
      <c r="L28" s="534"/>
      <c r="M28" s="452"/>
      <c r="N28" s="392">
        <f>J28+M28</f>
        <v>70</v>
      </c>
      <c r="O28" s="612"/>
      <c r="P28" s="613"/>
      <c r="Q28" s="393"/>
      <c r="R28" s="468"/>
      <c r="S28" s="622"/>
      <c r="T28" s="623"/>
      <c r="U28" s="624"/>
      <c r="V28" s="625"/>
      <c r="W28" s="626"/>
    </row>
    <row r="29" spans="1:27" ht="15.75" thickBot="1" x14ac:dyDescent="0.3">
      <c r="A29" s="399" t="s">
        <v>517</v>
      </c>
      <c r="B29" s="502" t="s">
        <v>518</v>
      </c>
      <c r="C29" s="454"/>
      <c r="D29" s="400"/>
      <c r="E29" s="455">
        <f>E30+E31+E32+E33+E34+E37+E41+E42+E43+E44+E45+E49+E50+E35+E36+E48+E47+E46+E38+E39+E40</f>
        <v>1196683</v>
      </c>
      <c r="F29" s="454"/>
      <c r="G29" s="400"/>
      <c r="H29" s="581"/>
      <c r="I29" s="455"/>
      <c r="J29" s="443"/>
      <c r="K29" s="473"/>
      <c r="L29" s="473"/>
      <c r="M29" s="455"/>
      <c r="N29" s="440"/>
      <c r="O29" s="423">
        <f>O30+O31+O32+O33+O34+O37+O41+O42+O43+O44+O45+O49+O50+O35+O36+O46+O47+O48+O38+O39+O40</f>
        <v>1196613</v>
      </c>
      <c r="P29" s="389">
        <f>P30+P31+P32+P33+P34+P37+P41+P42+P43+P44+P45+P49+P50+P35+P36+P48+P47+P46+P38+P39+P40</f>
        <v>1196613</v>
      </c>
      <c r="Q29" s="401"/>
      <c r="R29" s="469"/>
      <c r="S29" s="484"/>
      <c r="T29" s="485"/>
      <c r="U29" s="486"/>
      <c r="V29" s="487"/>
      <c r="W29" s="483"/>
    </row>
    <row r="30" spans="1:27" x14ac:dyDescent="0.25">
      <c r="A30" s="402">
        <v>22</v>
      </c>
      <c r="B30" s="503" t="s">
        <v>519</v>
      </c>
      <c r="C30" s="451"/>
      <c r="D30" s="391"/>
      <c r="E30" s="690">
        <v>60072</v>
      </c>
      <c r="F30" s="451"/>
      <c r="G30" s="391"/>
      <c r="H30" s="391"/>
      <c r="I30" s="452"/>
      <c r="J30" s="538"/>
      <c r="K30" s="534"/>
      <c r="L30" s="534"/>
      <c r="M30" s="452"/>
      <c r="N30" s="392"/>
      <c r="O30" s="691">
        <f>SUM(P30:Q30)</f>
        <v>60072</v>
      </c>
      <c r="P30" s="692">
        <f t="shared" ref="P30:P40" si="15">E30</f>
        <v>60072</v>
      </c>
      <c r="Q30" s="393"/>
      <c r="R30" s="468"/>
      <c r="S30" s="480"/>
      <c r="T30" s="481"/>
      <c r="U30" s="693"/>
      <c r="V30" s="694"/>
      <c r="W30" s="694"/>
    </row>
    <row r="31" spans="1:27" x14ac:dyDescent="0.25">
      <c r="A31" s="403">
        <v>25</v>
      </c>
      <c r="B31" s="504" t="s">
        <v>520</v>
      </c>
      <c r="C31" s="448"/>
      <c r="D31" s="394"/>
      <c r="E31" s="695">
        <v>0</v>
      </c>
      <c r="F31" s="448"/>
      <c r="G31" s="394"/>
      <c r="H31" s="394"/>
      <c r="I31" s="449"/>
      <c r="J31" s="539"/>
      <c r="K31" s="532"/>
      <c r="L31" s="532"/>
      <c r="M31" s="449"/>
      <c r="N31" s="439"/>
      <c r="O31" s="691">
        <f>SUM(P31:Q31)</f>
        <v>0</v>
      </c>
      <c r="P31" s="692">
        <f t="shared" si="15"/>
        <v>0</v>
      </c>
      <c r="Q31" s="395"/>
      <c r="R31" s="468"/>
      <c r="S31" s="480"/>
      <c r="T31" s="481"/>
      <c r="U31" s="488"/>
      <c r="V31" s="489"/>
      <c r="W31" s="489"/>
    </row>
    <row r="32" spans="1:27" x14ac:dyDescent="0.25">
      <c r="A32" s="403">
        <v>20</v>
      </c>
      <c r="B32" s="504" t="s">
        <v>521</v>
      </c>
      <c r="C32" s="448"/>
      <c r="D32" s="394"/>
      <c r="E32" s="695">
        <v>46096</v>
      </c>
      <c r="F32" s="448"/>
      <c r="G32" s="394"/>
      <c r="H32" s="394"/>
      <c r="I32" s="449"/>
      <c r="J32" s="539"/>
      <c r="K32" s="532"/>
      <c r="L32" s="532"/>
      <c r="M32" s="449"/>
      <c r="N32" s="439"/>
      <c r="O32" s="691">
        <f t="shared" ref="O32:O51" si="16">SUM(P32:Q32)</f>
        <v>46096</v>
      </c>
      <c r="P32" s="692">
        <f t="shared" si="15"/>
        <v>46096</v>
      </c>
      <c r="Q32" s="395"/>
      <c r="R32" s="468"/>
      <c r="S32" s="480"/>
      <c r="T32" s="481"/>
      <c r="U32" s="488"/>
      <c r="V32" s="489"/>
      <c r="W32" s="489"/>
    </row>
    <row r="33" spans="1:23" x14ac:dyDescent="0.25">
      <c r="A33" s="403">
        <v>28</v>
      </c>
      <c r="B33" s="504" t="s">
        <v>522</v>
      </c>
      <c r="C33" s="448"/>
      <c r="D33" s="394"/>
      <c r="E33" s="695">
        <v>23786</v>
      </c>
      <c r="F33" s="448"/>
      <c r="G33" s="394"/>
      <c r="H33" s="394"/>
      <c r="I33" s="449"/>
      <c r="J33" s="539"/>
      <c r="K33" s="532"/>
      <c r="L33" s="532"/>
      <c r="M33" s="449"/>
      <c r="N33" s="439"/>
      <c r="O33" s="691">
        <f t="shared" si="16"/>
        <v>23786</v>
      </c>
      <c r="P33" s="692">
        <f t="shared" si="15"/>
        <v>23786</v>
      </c>
      <c r="Q33" s="395"/>
      <c r="R33" s="468"/>
      <c r="S33" s="480"/>
      <c r="T33" s="481"/>
      <c r="U33" s="488"/>
      <c r="V33" s="489"/>
      <c r="W33" s="489"/>
    </row>
    <row r="34" spans="1:23" x14ac:dyDescent="0.25">
      <c r="A34" s="403">
        <v>39</v>
      </c>
      <c r="B34" s="504" t="s">
        <v>645</v>
      </c>
      <c r="C34" s="448"/>
      <c r="D34" s="394"/>
      <c r="E34" s="695">
        <v>36300</v>
      </c>
      <c r="F34" s="448"/>
      <c r="G34" s="394"/>
      <c r="H34" s="394"/>
      <c r="I34" s="449"/>
      <c r="J34" s="539"/>
      <c r="K34" s="532"/>
      <c r="L34" s="532"/>
      <c r="M34" s="449"/>
      <c r="N34" s="439"/>
      <c r="O34" s="691">
        <f t="shared" si="16"/>
        <v>36300</v>
      </c>
      <c r="P34" s="692">
        <f t="shared" si="15"/>
        <v>36300</v>
      </c>
      <c r="Q34" s="395"/>
      <c r="R34" s="468"/>
      <c r="S34" s="480"/>
      <c r="T34" s="481"/>
      <c r="U34" s="488"/>
      <c r="V34" s="489"/>
      <c r="W34" s="489"/>
    </row>
    <row r="35" spans="1:23" x14ac:dyDescent="0.25">
      <c r="A35" s="403">
        <v>32</v>
      </c>
      <c r="B35" s="504" t="s">
        <v>675</v>
      </c>
      <c r="C35" s="448"/>
      <c r="D35" s="394"/>
      <c r="E35" s="695">
        <v>0</v>
      </c>
      <c r="F35" s="448"/>
      <c r="G35" s="394"/>
      <c r="H35" s="394"/>
      <c r="I35" s="449"/>
      <c r="J35" s="539"/>
      <c r="K35" s="532"/>
      <c r="L35" s="532"/>
      <c r="M35" s="449"/>
      <c r="N35" s="439"/>
      <c r="O35" s="691">
        <f t="shared" si="16"/>
        <v>0</v>
      </c>
      <c r="P35" s="692">
        <f t="shared" si="15"/>
        <v>0</v>
      </c>
      <c r="Q35" s="395"/>
      <c r="R35" s="468"/>
      <c r="S35" s="480"/>
      <c r="T35" s="481"/>
      <c r="U35" s="488"/>
      <c r="V35" s="489"/>
      <c r="W35" s="489"/>
    </row>
    <row r="36" spans="1:23" x14ac:dyDescent="0.25">
      <c r="A36" s="403">
        <v>30</v>
      </c>
      <c r="B36" s="504" t="s">
        <v>609</v>
      </c>
      <c r="C36" s="448"/>
      <c r="D36" s="394"/>
      <c r="E36" s="695">
        <v>0</v>
      </c>
      <c r="F36" s="448"/>
      <c r="G36" s="394"/>
      <c r="H36" s="394"/>
      <c r="I36" s="449"/>
      <c r="J36" s="539"/>
      <c r="K36" s="532"/>
      <c r="L36" s="532"/>
      <c r="M36" s="449"/>
      <c r="N36" s="439"/>
      <c r="O36" s="691">
        <f t="shared" si="16"/>
        <v>0</v>
      </c>
      <c r="P36" s="692">
        <f t="shared" si="15"/>
        <v>0</v>
      </c>
      <c r="Q36" s="395"/>
      <c r="R36" s="468"/>
      <c r="S36" s="480"/>
      <c r="T36" s="481"/>
      <c r="U36" s="488"/>
      <c r="V36" s="489"/>
      <c r="W36" s="489"/>
    </row>
    <row r="37" spans="1:23" x14ac:dyDescent="0.25">
      <c r="A37" s="403">
        <v>40</v>
      </c>
      <c r="B37" s="504" t="s">
        <v>652</v>
      </c>
      <c r="C37" s="448"/>
      <c r="D37" s="394"/>
      <c r="E37" s="695">
        <f>38580-38580</f>
        <v>0</v>
      </c>
      <c r="F37" s="448"/>
      <c r="G37" s="394"/>
      <c r="H37" s="394"/>
      <c r="I37" s="449"/>
      <c r="J37" s="539"/>
      <c r="K37" s="532"/>
      <c r="L37" s="532"/>
      <c r="M37" s="449"/>
      <c r="N37" s="439"/>
      <c r="O37" s="691">
        <f t="shared" si="16"/>
        <v>0</v>
      </c>
      <c r="P37" s="692">
        <f t="shared" si="15"/>
        <v>0</v>
      </c>
      <c r="Q37" s="395"/>
      <c r="R37" s="468"/>
      <c r="S37" s="480"/>
      <c r="T37" s="481"/>
      <c r="U37" s="488"/>
      <c r="V37" s="489"/>
      <c r="W37" s="489"/>
    </row>
    <row r="38" spans="1:23" x14ac:dyDescent="0.25">
      <c r="A38" s="403">
        <v>53</v>
      </c>
      <c r="B38" s="504" t="s">
        <v>747</v>
      </c>
      <c r="C38" s="448"/>
      <c r="D38" s="394"/>
      <c r="E38" s="695">
        <f>81+1000</f>
        <v>1081</v>
      </c>
      <c r="F38" s="448"/>
      <c r="G38" s="394"/>
      <c r="H38" s="394"/>
      <c r="I38" s="449"/>
      <c r="J38" s="539"/>
      <c r="K38" s="532"/>
      <c r="L38" s="532"/>
      <c r="M38" s="449"/>
      <c r="N38" s="439"/>
      <c r="O38" s="691">
        <f t="shared" si="16"/>
        <v>1081</v>
      </c>
      <c r="P38" s="692">
        <f t="shared" si="15"/>
        <v>1081</v>
      </c>
      <c r="Q38" s="395"/>
      <c r="R38" s="468"/>
      <c r="S38" s="480"/>
      <c r="T38" s="481"/>
      <c r="U38" s="488"/>
      <c r="V38" s="489"/>
      <c r="W38" s="489"/>
    </row>
    <row r="39" spans="1:23" x14ac:dyDescent="0.25">
      <c r="A39" s="403"/>
      <c r="B39" s="504" t="s">
        <v>622</v>
      </c>
      <c r="C39" s="448"/>
      <c r="D39" s="394"/>
      <c r="E39" s="695"/>
      <c r="F39" s="448"/>
      <c r="G39" s="394"/>
      <c r="H39" s="394"/>
      <c r="I39" s="449"/>
      <c r="J39" s="539"/>
      <c r="K39" s="532"/>
      <c r="L39" s="532"/>
      <c r="M39" s="449"/>
      <c r="N39" s="439"/>
      <c r="O39" s="691">
        <f t="shared" si="16"/>
        <v>0</v>
      </c>
      <c r="P39" s="692">
        <f t="shared" si="15"/>
        <v>0</v>
      </c>
      <c r="Q39" s="395"/>
      <c r="R39" s="468"/>
      <c r="S39" s="480"/>
      <c r="T39" s="481"/>
      <c r="U39" s="488"/>
      <c r="V39" s="489"/>
      <c r="W39" s="489"/>
    </row>
    <row r="40" spans="1:23" x14ac:dyDescent="0.25">
      <c r="A40" s="403">
        <v>5</v>
      </c>
      <c r="B40" s="504" t="s">
        <v>636</v>
      </c>
      <c r="C40" s="448"/>
      <c r="D40" s="394"/>
      <c r="E40" s="695"/>
      <c r="F40" s="448"/>
      <c r="G40" s="394"/>
      <c r="H40" s="394"/>
      <c r="I40" s="449"/>
      <c r="J40" s="539"/>
      <c r="K40" s="532"/>
      <c r="L40" s="532"/>
      <c r="M40" s="449"/>
      <c r="N40" s="439"/>
      <c r="O40" s="691">
        <f t="shared" si="16"/>
        <v>0</v>
      </c>
      <c r="P40" s="692">
        <f t="shared" si="15"/>
        <v>0</v>
      </c>
      <c r="Q40" s="395"/>
      <c r="R40" s="468"/>
      <c r="S40" s="480"/>
      <c r="T40" s="481"/>
      <c r="U40" s="488"/>
      <c r="V40" s="489"/>
      <c r="W40" s="489"/>
    </row>
    <row r="41" spans="1:23" x14ac:dyDescent="0.25">
      <c r="A41" s="403">
        <v>24</v>
      </c>
      <c r="B41" s="504" t="s">
        <v>523</v>
      </c>
      <c r="C41" s="448"/>
      <c r="D41" s="394"/>
      <c r="E41" s="695">
        <v>1270</v>
      </c>
      <c r="F41" s="448"/>
      <c r="G41" s="394"/>
      <c r="H41" s="394"/>
      <c r="I41" s="449"/>
      <c r="J41" s="539"/>
      <c r="K41" s="532"/>
      <c r="L41" s="532"/>
      <c r="M41" s="449"/>
      <c r="N41" s="439"/>
      <c r="O41" s="691">
        <f t="shared" si="16"/>
        <v>1200</v>
      </c>
      <c r="P41" s="692">
        <f>E41-E28</f>
        <v>1200</v>
      </c>
      <c r="Q41" s="395"/>
      <c r="R41" s="468"/>
      <c r="S41" s="480"/>
      <c r="T41" s="481"/>
      <c r="U41" s="488"/>
      <c r="V41" s="489"/>
      <c r="W41" s="489"/>
    </row>
    <row r="42" spans="1:23" x14ac:dyDescent="0.25">
      <c r="A42" s="403">
        <v>26</v>
      </c>
      <c r="B42" s="504" t="s">
        <v>676</v>
      </c>
      <c r="C42" s="448"/>
      <c r="D42" s="394"/>
      <c r="E42" s="695"/>
      <c r="F42" s="448"/>
      <c r="G42" s="394"/>
      <c r="H42" s="394"/>
      <c r="I42" s="449"/>
      <c r="J42" s="539"/>
      <c r="K42" s="532"/>
      <c r="L42" s="532"/>
      <c r="M42" s="449"/>
      <c r="N42" s="439"/>
      <c r="O42" s="691">
        <f t="shared" si="16"/>
        <v>0</v>
      </c>
      <c r="P42" s="692">
        <f t="shared" ref="P42:P50" si="17">E42</f>
        <v>0</v>
      </c>
      <c r="Q42" s="395"/>
      <c r="R42" s="468"/>
      <c r="S42" s="480"/>
      <c r="T42" s="481"/>
      <c r="U42" s="488"/>
      <c r="V42" s="489"/>
      <c r="W42" s="489"/>
    </row>
    <row r="43" spans="1:23" x14ac:dyDescent="0.25">
      <c r="A43" s="403">
        <v>35</v>
      </c>
      <c r="B43" s="504" t="s">
        <v>524</v>
      </c>
      <c r="C43" s="448"/>
      <c r="D43" s="394"/>
      <c r="E43" s="695">
        <v>27200</v>
      </c>
      <c r="F43" s="448"/>
      <c r="G43" s="394"/>
      <c r="H43" s="394"/>
      <c r="I43" s="449"/>
      <c r="J43" s="539"/>
      <c r="K43" s="532"/>
      <c r="L43" s="532"/>
      <c r="M43" s="449"/>
      <c r="N43" s="439"/>
      <c r="O43" s="691">
        <f t="shared" si="16"/>
        <v>27200</v>
      </c>
      <c r="P43" s="692">
        <f t="shared" si="17"/>
        <v>27200</v>
      </c>
      <c r="Q43" s="395"/>
      <c r="R43" s="468"/>
      <c r="S43" s="480"/>
      <c r="T43" s="481"/>
      <c r="U43" s="488"/>
      <c r="V43" s="489"/>
      <c r="W43" s="489"/>
    </row>
    <row r="44" spans="1:23" x14ac:dyDescent="0.25">
      <c r="A44" s="403">
        <v>19</v>
      </c>
      <c r="B44" s="504" t="s">
        <v>677</v>
      </c>
      <c r="C44" s="448"/>
      <c r="D44" s="394"/>
      <c r="E44" s="695">
        <v>25650</v>
      </c>
      <c r="F44" s="448"/>
      <c r="G44" s="394"/>
      <c r="H44" s="394"/>
      <c r="I44" s="449"/>
      <c r="J44" s="539"/>
      <c r="K44" s="532"/>
      <c r="L44" s="532"/>
      <c r="M44" s="449"/>
      <c r="N44" s="439"/>
      <c r="O44" s="691">
        <f t="shared" si="16"/>
        <v>25650</v>
      </c>
      <c r="P44" s="692">
        <f t="shared" si="17"/>
        <v>25650</v>
      </c>
      <c r="Q44" s="395"/>
      <c r="R44" s="468"/>
      <c r="S44" s="480"/>
      <c r="T44" s="481"/>
      <c r="U44" s="488"/>
      <c r="V44" s="489"/>
      <c r="W44" s="489"/>
    </row>
    <row r="45" spans="1:23" x14ac:dyDescent="0.25">
      <c r="A45" s="404">
        <v>9</v>
      </c>
      <c r="B45" s="504" t="s">
        <v>575</v>
      </c>
      <c r="C45" s="450"/>
      <c r="D45" s="396"/>
      <c r="E45" s="696">
        <v>67059</v>
      </c>
      <c r="F45" s="450"/>
      <c r="G45" s="396"/>
      <c r="H45" s="396"/>
      <c r="I45" s="453"/>
      <c r="J45" s="697"/>
      <c r="K45" s="533"/>
      <c r="L45" s="533"/>
      <c r="M45" s="453"/>
      <c r="N45" s="441"/>
      <c r="O45" s="691">
        <f t="shared" si="16"/>
        <v>67059</v>
      </c>
      <c r="P45" s="692">
        <f t="shared" si="17"/>
        <v>67059</v>
      </c>
      <c r="Q45" s="395"/>
      <c r="R45" s="468"/>
      <c r="S45" s="480"/>
      <c r="T45" s="481"/>
      <c r="U45" s="488"/>
      <c r="V45" s="489"/>
      <c r="W45" s="489"/>
    </row>
    <row r="46" spans="1:23" x14ac:dyDescent="0.25">
      <c r="A46" s="404">
        <v>34</v>
      </c>
      <c r="B46" s="504" t="s">
        <v>634</v>
      </c>
      <c r="C46" s="450"/>
      <c r="D46" s="396"/>
      <c r="E46" s="696">
        <v>104412</v>
      </c>
      <c r="F46" s="450"/>
      <c r="G46" s="396"/>
      <c r="H46" s="396"/>
      <c r="I46" s="453"/>
      <c r="J46" s="697"/>
      <c r="K46" s="533"/>
      <c r="L46" s="533"/>
      <c r="M46" s="453"/>
      <c r="N46" s="441"/>
      <c r="O46" s="691">
        <f t="shared" si="16"/>
        <v>104412</v>
      </c>
      <c r="P46" s="692">
        <f t="shared" si="17"/>
        <v>104412</v>
      </c>
      <c r="Q46" s="395"/>
      <c r="R46" s="468"/>
      <c r="S46" s="480"/>
      <c r="T46" s="481"/>
      <c r="U46" s="488"/>
      <c r="V46" s="489"/>
      <c r="W46" s="489"/>
    </row>
    <row r="47" spans="1:23" x14ac:dyDescent="0.25">
      <c r="A47" s="404">
        <v>36</v>
      </c>
      <c r="B47" s="504" t="s">
        <v>633</v>
      </c>
      <c r="C47" s="450"/>
      <c r="D47" s="396"/>
      <c r="E47" s="696">
        <f>125447+59035</f>
        <v>184482</v>
      </c>
      <c r="F47" s="450"/>
      <c r="G47" s="396"/>
      <c r="H47" s="396"/>
      <c r="I47" s="453"/>
      <c r="J47" s="697"/>
      <c r="K47" s="533"/>
      <c r="L47" s="533"/>
      <c r="M47" s="453"/>
      <c r="N47" s="441"/>
      <c r="O47" s="691">
        <f t="shared" si="16"/>
        <v>184482</v>
      </c>
      <c r="P47" s="692">
        <f t="shared" si="17"/>
        <v>184482</v>
      </c>
      <c r="Q47" s="395"/>
      <c r="R47" s="468"/>
      <c r="S47" s="480"/>
      <c r="T47" s="481"/>
      <c r="U47" s="488"/>
      <c r="V47" s="489"/>
      <c r="W47" s="489"/>
    </row>
    <row r="48" spans="1:23" x14ac:dyDescent="0.25">
      <c r="A48" s="404">
        <v>37</v>
      </c>
      <c r="B48" s="504" t="s">
        <v>632</v>
      </c>
      <c r="C48" s="450"/>
      <c r="D48" s="396"/>
      <c r="E48" s="696">
        <f>632803-15553</f>
        <v>617250</v>
      </c>
      <c r="F48" s="450"/>
      <c r="G48" s="396"/>
      <c r="H48" s="396"/>
      <c r="I48" s="453"/>
      <c r="J48" s="697"/>
      <c r="K48" s="533"/>
      <c r="L48" s="533"/>
      <c r="M48" s="453"/>
      <c r="N48" s="441"/>
      <c r="O48" s="691">
        <f t="shared" si="16"/>
        <v>617250</v>
      </c>
      <c r="P48" s="692">
        <f t="shared" si="17"/>
        <v>617250</v>
      </c>
      <c r="Q48" s="395"/>
      <c r="R48" s="468"/>
      <c r="S48" s="480"/>
      <c r="T48" s="481"/>
      <c r="U48" s="488"/>
      <c r="V48" s="489"/>
      <c r="W48" s="489"/>
    </row>
    <row r="49" spans="1:24" x14ac:dyDescent="0.25">
      <c r="A49" s="404">
        <v>27</v>
      </c>
      <c r="B49" s="504" t="s">
        <v>618</v>
      </c>
      <c r="C49" s="450"/>
      <c r="D49" s="396"/>
      <c r="E49" s="696">
        <v>0</v>
      </c>
      <c r="F49" s="450"/>
      <c r="G49" s="396"/>
      <c r="H49" s="396"/>
      <c r="I49" s="453"/>
      <c r="J49" s="697"/>
      <c r="K49" s="533"/>
      <c r="L49" s="533"/>
      <c r="M49" s="453"/>
      <c r="N49" s="441"/>
      <c r="O49" s="691">
        <f>SUM(P49:Q49)</f>
        <v>0</v>
      </c>
      <c r="P49" s="692">
        <f t="shared" si="17"/>
        <v>0</v>
      </c>
      <c r="Q49" s="395"/>
      <c r="R49" s="468"/>
      <c r="S49" s="480"/>
      <c r="T49" s="481"/>
      <c r="U49" s="488"/>
      <c r="V49" s="489"/>
      <c r="W49" s="489"/>
    </row>
    <row r="50" spans="1:24" ht="15.75" thickBot="1" x14ac:dyDescent="0.3">
      <c r="A50" s="404">
        <v>29</v>
      </c>
      <c r="B50" s="504" t="s">
        <v>525</v>
      </c>
      <c r="C50" s="450"/>
      <c r="D50" s="396"/>
      <c r="E50" s="696">
        <v>2025</v>
      </c>
      <c r="F50" s="450"/>
      <c r="G50" s="396"/>
      <c r="H50" s="396"/>
      <c r="I50" s="453"/>
      <c r="J50" s="697"/>
      <c r="K50" s="533"/>
      <c r="L50" s="533"/>
      <c r="M50" s="453"/>
      <c r="N50" s="441"/>
      <c r="O50" s="691">
        <f t="shared" si="16"/>
        <v>2025</v>
      </c>
      <c r="P50" s="692">
        <f t="shared" si="17"/>
        <v>2025</v>
      </c>
      <c r="Q50" s="387"/>
      <c r="R50" s="468"/>
      <c r="S50" s="480"/>
      <c r="T50" s="481"/>
      <c r="U50" s="488"/>
      <c r="V50" s="489"/>
      <c r="W50" s="489"/>
    </row>
    <row r="51" spans="1:24" ht="15.75" thickBot="1" x14ac:dyDescent="0.3">
      <c r="A51" s="433" t="s">
        <v>526</v>
      </c>
      <c r="B51" s="502" t="s">
        <v>546</v>
      </c>
      <c r="C51" s="454"/>
      <c r="D51" s="400"/>
      <c r="E51" s="455"/>
      <c r="F51" s="454"/>
      <c r="G51" s="400">
        <f>G9+G18+G25</f>
        <v>1133582</v>
      </c>
      <c r="H51" s="400"/>
      <c r="I51" s="455"/>
      <c r="J51" s="443"/>
      <c r="K51" s="473"/>
      <c r="L51" s="473"/>
      <c r="M51" s="455">
        <f>13012+133+169000+115000+213000</f>
        <v>510145</v>
      </c>
      <c r="N51" s="440">
        <f>M51</f>
        <v>510145</v>
      </c>
      <c r="O51" s="423">
        <f t="shared" si="16"/>
        <v>1643727</v>
      </c>
      <c r="P51" s="389">
        <f>G51</f>
        <v>1133582</v>
      </c>
      <c r="Q51" s="390">
        <f>M51</f>
        <v>510145</v>
      </c>
      <c r="R51" s="470"/>
      <c r="S51" s="480"/>
      <c r="T51" s="481"/>
      <c r="U51" s="488"/>
      <c r="V51" s="489"/>
      <c r="W51" s="489"/>
    </row>
    <row r="52" spans="1:24" s="474" customFormat="1" ht="15.75" thickBot="1" x14ac:dyDescent="0.3">
      <c r="A52" s="399" t="s">
        <v>527</v>
      </c>
      <c r="B52" s="505" t="s">
        <v>295</v>
      </c>
      <c r="C52" s="454">
        <f>SUM(D52:E52)</f>
        <v>362635</v>
      </c>
      <c r="D52" s="400">
        <v>154943</v>
      </c>
      <c r="E52" s="455">
        <f>452255-200000-59035+15553-81-1000</f>
        <v>207692</v>
      </c>
      <c r="F52" s="581">
        <f>26094-6648</f>
        <v>19446</v>
      </c>
      <c r="G52" s="400">
        <f>36570+27500-2500</f>
        <v>61570</v>
      </c>
      <c r="H52" s="400">
        <f>25684-5604</f>
        <v>20080</v>
      </c>
      <c r="I52" s="400">
        <f>25760+81560</f>
        <v>107320</v>
      </c>
      <c r="J52" s="443">
        <f>D52+E52+G52+H52+F52+I52</f>
        <v>571051</v>
      </c>
      <c r="K52" s="473"/>
      <c r="L52" s="473"/>
      <c r="M52" s="455">
        <f>40000-13012</f>
        <v>26988</v>
      </c>
      <c r="N52" s="440">
        <f>D52+E52+G52+H52+F52+M52+I52</f>
        <v>598039</v>
      </c>
      <c r="O52" s="423">
        <v>0</v>
      </c>
      <c r="P52" s="389">
        <v>0</v>
      </c>
      <c r="Q52" s="401"/>
      <c r="R52" s="468"/>
      <c r="S52" s="480"/>
      <c r="T52" s="481"/>
      <c r="U52" s="488"/>
      <c r="V52" s="489"/>
      <c r="W52" s="489"/>
    </row>
    <row r="53" spans="1:24" ht="15.75" thickBot="1" x14ac:dyDescent="0.3">
      <c r="A53" s="399" t="s">
        <v>528</v>
      </c>
      <c r="B53" s="505" t="s">
        <v>529</v>
      </c>
      <c r="C53" s="454"/>
      <c r="D53" s="400"/>
      <c r="E53" s="455"/>
      <c r="F53" s="454"/>
      <c r="G53" s="400"/>
      <c r="H53" s="400">
        <f>H9+H18</f>
        <v>576790</v>
      </c>
      <c r="I53" s="455">
        <f>I9+I18</f>
        <v>784240</v>
      </c>
      <c r="J53" s="443"/>
      <c r="K53" s="473"/>
      <c r="L53" s="473"/>
      <c r="M53" s="455"/>
      <c r="N53" s="440"/>
      <c r="O53" s="423">
        <f>P53</f>
        <v>1361030</v>
      </c>
      <c r="P53" s="389">
        <f>H53+I53</f>
        <v>1361030</v>
      </c>
      <c r="Q53" s="401"/>
      <c r="R53" s="471"/>
      <c r="S53" s="480"/>
      <c r="T53" s="481"/>
      <c r="U53" s="488"/>
      <c r="V53" s="489"/>
      <c r="W53" s="489"/>
    </row>
    <row r="54" spans="1:24" ht="15.75" thickBot="1" x14ac:dyDescent="0.3">
      <c r="A54" s="867" t="s">
        <v>594</v>
      </c>
      <c r="B54" s="868"/>
      <c r="C54" s="456">
        <f>C9+C18+C25+C52</f>
        <v>11611641</v>
      </c>
      <c r="D54" s="434">
        <f>D18+D52+D9</f>
        <v>10207266</v>
      </c>
      <c r="E54" s="457">
        <f>E30+E31+E32+E33+E34+E37+E41+E42+E43+E44+E45+E49+E50+E52+E35+E36+E46+E47+E48+E39+E40</f>
        <v>1403294</v>
      </c>
      <c r="F54" s="582">
        <f>F9+F18+F25+F8+F52</f>
        <v>2633845</v>
      </c>
      <c r="G54" s="434">
        <f>G9+G18+G25+G52</f>
        <v>1195152</v>
      </c>
      <c r="H54" s="434">
        <f>H9+H18+H52</f>
        <v>596870</v>
      </c>
      <c r="I54" s="434">
        <f>I9+I18+I52</f>
        <v>891560</v>
      </c>
      <c r="J54" s="540">
        <f>J9+J18+J25+J52+J8</f>
        <v>16929068</v>
      </c>
      <c r="K54" s="535">
        <f>K9+K18+K25</f>
        <v>12660722</v>
      </c>
      <c r="L54" s="535"/>
      <c r="M54" s="457">
        <f>M9+M18+M25+M52</f>
        <v>1538745</v>
      </c>
      <c r="N54" s="442">
        <f>N9+N18+N25+N8+N52</f>
        <v>18481474</v>
      </c>
      <c r="O54" s="432">
        <f>O53+O51+O29+O25+O18+O9</f>
        <v>17016104</v>
      </c>
      <c r="P54" s="459">
        <f>P53+P51+P29+P25+P18+P9</f>
        <v>16351947</v>
      </c>
      <c r="Q54" s="460">
        <f>Q9+Q18+Q25+Q51</f>
        <v>664157</v>
      </c>
      <c r="R54" s="472"/>
      <c r="S54" s="454">
        <f>S9+S18+S25</f>
        <v>771690</v>
      </c>
      <c r="T54" s="400">
        <f>T9+T18+T25</f>
        <v>204630</v>
      </c>
      <c r="U54" s="473">
        <f>U25+U18+U9</f>
        <v>529920</v>
      </c>
      <c r="V54" s="443">
        <f>V9+V18</f>
        <v>497000</v>
      </c>
      <c r="W54" s="473">
        <f>W9+W18+W25</f>
        <v>69777</v>
      </c>
    </row>
    <row r="55" spans="1:24" ht="15.75" thickBot="1" x14ac:dyDescent="0.3">
      <c r="A55" s="860" t="s">
        <v>357</v>
      </c>
      <c r="B55" s="861"/>
      <c r="C55" s="707"/>
      <c r="D55" s="708">
        <v>735000</v>
      </c>
      <c r="E55" s="627"/>
      <c r="F55" s="709">
        <f>160000-29000</f>
        <v>131000</v>
      </c>
      <c r="G55" s="708">
        <f>560000+1000</f>
        <v>561000</v>
      </c>
      <c r="H55" s="708">
        <f>260000+48920</f>
        <v>308920</v>
      </c>
      <c r="I55" s="627"/>
      <c r="J55" s="710"/>
      <c r="K55" s="628"/>
      <c r="L55" s="628"/>
      <c r="M55" s="627">
        <v>10000</v>
      </c>
      <c r="N55" s="629">
        <f>SUM(C55:M55)</f>
        <v>1745920</v>
      </c>
      <c r="O55" s="630">
        <f>SUM(P55:Q55)</f>
        <v>1745920</v>
      </c>
      <c r="P55" s="631">
        <f>D55+F55+G55+H55</f>
        <v>1735920</v>
      </c>
      <c r="Q55" s="632">
        <f>M55</f>
        <v>10000</v>
      </c>
      <c r="R55" s="633"/>
      <c r="S55" s="631">
        <v>570000</v>
      </c>
      <c r="T55" s="634">
        <v>1000</v>
      </c>
      <c r="U55" s="635">
        <v>260000</v>
      </c>
      <c r="V55" s="630"/>
      <c r="W55" s="636">
        <v>48920</v>
      </c>
    </row>
    <row r="56" spans="1:24" ht="15.75" thickBot="1" x14ac:dyDescent="0.3">
      <c r="A56" s="860" t="s">
        <v>542</v>
      </c>
      <c r="B56" s="861"/>
      <c r="C56" s="631"/>
      <c r="D56" s="632"/>
      <c r="E56" s="635"/>
      <c r="F56" s="631">
        <f>190000-3000</f>
        <v>187000</v>
      </c>
      <c r="G56" s="632">
        <v>15000</v>
      </c>
      <c r="H56" s="632"/>
      <c r="I56" s="635"/>
      <c r="J56" s="630"/>
      <c r="K56" s="636"/>
      <c r="L56" s="628"/>
      <c r="M56" s="627"/>
      <c r="N56" s="629">
        <f>SUM(C56:M56)</f>
        <v>202000</v>
      </c>
      <c r="O56" s="630">
        <f>SUM(P56:Q56)</f>
        <v>202000</v>
      </c>
      <c r="P56" s="631">
        <f>F56+G56+D56</f>
        <v>202000</v>
      </c>
      <c r="Q56" s="632">
        <f>M56</f>
        <v>0</v>
      </c>
      <c r="R56" s="633"/>
      <c r="S56" s="631">
        <v>10000</v>
      </c>
      <c r="T56" s="634">
        <v>5000</v>
      </c>
      <c r="U56" s="635"/>
      <c r="V56" s="630"/>
      <c r="W56" s="636"/>
    </row>
    <row r="57" spans="1:24" s="350" customFormat="1" ht="32.25" customHeight="1" thickBot="1" x14ac:dyDescent="0.3">
      <c r="A57" s="862" t="s">
        <v>543</v>
      </c>
      <c r="B57" s="863"/>
      <c r="C57" s="491">
        <f>C54+C55+C56</f>
        <v>11611641</v>
      </c>
      <c r="D57" s="490">
        <f>D54+D55+D56</f>
        <v>10942266</v>
      </c>
      <c r="E57" s="492">
        <f t="shared" ref="E57:M57" si="18">E54+E55+E56</f>
        <v>1403294</v>
      </c>
      <c r="F57" s="491">
        <f t="shared" si="18"/>
        <v>2951845</v>
      </c>
      <c r="G57" s="490">
        <f t="shared" si="18"/>
        <v>1771152</v>
      </c>
      <c r="H57" s="490">
        <f t="shared" si="18"/>
        <v>905790</v>
      </c>
      <c r="I57" s="492">
        <f t="shared" si="18"/>
        <v>891560</v>
      </c>
      <c r="J57" s="493">
        <f t="shared" si="18"/>
        <v>16929068</v>
      </c>
      <c r="K57" s="528">
        <f t="shared" si="18"/>
        <v>12660722</v>
      </c>
      <c r="L57" s="604"/>
      <c r="M57" s="492">
        <f t="shared" si="18"/>
        <v>1548745</v>
      </c>
      <c r="N57" s="494">
        <f>N54+N55+N56</f>
        <v>20429394</v>
      </c>
      <c r="O57" s="493">
        <f>O54+O55+O56</f>
        <v>18964024</v>
      </c>
      <c r="P57" s="711">
        <f>P54+P55+P56</f>
        <v>18289867</v>
      </c>
      <c r="Q57" s="698">
        <f>Q54+Q55+Q56</f>
        <v>674157</v>
      </c>
      <c r="R57" s="712"/>
      <c r="S57" s="943">
        <f>S56+S55+S54+U54+U55+T54+T56+T55</f>
        <v>2352240</v>
      </c>
      <c r="T57" s="944"/>
      <c r="U57" s="945"/>
      <c r="V57" s="716">
        <f>V54</f>
        <v>497000</v>
      </c>
      <c r="W57" s="717">
        <f>W54+W55</f>
        <v>118697</v>
      </c>
      <c r="X57" s="495"/>
    </row>
    <row r="58" spans="1:24" s="350" customFormat="1" ht="16.5" thickBot="1" x14ac:dyDescent="0.3">
      <c r="A58" s="949" t="s">
        <v>547</v>
      </c>
      <c r="B58" s="950"/>
      <c r="C58" s="491"/>
      <c r="D58" s="490"/>
      <c r="E58" s="492"/>
      <c r="F58" s="491"/>
      <c r="G58" s="490"/>
      <c r="H58" s="490"/>
      <c r="I58" s="492"/>
      <c r="J58" s="493"/>
      <c r="K58" s="528"/>
      <c r="L58" s="604"/>
      <c r="M58" s="492"/>
      <c r="N58" s="494">
        <f>SUM(C58:M58)</f>
        <v>0</v>
      </c>
      <c r="O58" s="493">
        <f>SUM(P58:R58)</f>
        <v>21270891</v>
      </c>
      <c r="P58" s="711">
        <f>12700352+9000-15000+87000+79485+1603+102000+2000-152000-6648-2500-5690-6500-2700-10000-6002-4400+5000-17800+13661-81-59035+15553-2270-5000+7000-20000-1000+2700</f>
        <v>12708728</v>
      </c>
      <c r="Q58" s="698">
        <f>7356180+184000+70000+18814+27000-13012+5690+6500+2700+9000-17400-400000+6341-30000+20000+3000</f>
        <v>7248813</v>
      </c>
      <c r="R58" s="712">
        <v>1313350</v>
      </c>
      <c r="S58" s="943">
        <f>28853434+2000+100000+9000-5604-200000-2500+1550+40000+15400+10000+15000+80+23659+23800+25000+15000-5000</f>
        <v>28920819</v>
      </c>
      <c r="T58" s="944"/>
      <c r="U58" s="945"/>
      <c r="V58" s="716">
        <f>4464200+184000+27000-92000+8000+70000-30000+6341-23700-400000+3000</f>
        <v>4216841</v>
      </c>
      <c r="W58" s="717">
        <f>3975000+327618-176000+2700</f>
        <v>4129318</v>
      </c>
      <c r="X58" s="495"/>
    </row>
    <row r="59" spans="1:24" s="435" customFormat="1" ht="33.75" customHeight="1" thickBot="1" x14ac:dyDescent="0.35">
      <c r="A59" s="937" t="s">
        <v>548</v>
      </c>
      <c r="B59" s="938"/>
      <c r="C59" s="938"/>
      <c r="D59" s="938"/>
      <c r="E59" s="938"/>
      <c r="F59" s="938"/>
      <c r="G59" s="938"/>
      <c r="H59" s="938"/>
      <c r="I59" s="938"/>
      <c r="J59" s="938"/>
      <c r="K59" s="938"/>
      <c r="L59" s="938"/>
      <c r="M59" s="938"/>
      <c r="N59" s="938"/>
      <c r="O59" s="939"/>
      <c r="P59" s="713">
        <f>P57+P58</f>
        <v>30998595</v>
      </c>
      <c r="Q59" s="714">
        <f>Q57+Q58</f>
        <v>7922970</v>
      </c>
      <c r="R59" s="715">
        <f>R57+R58</f>
        <v>1313350</v>
      </c>
      <c r="S59" s="946">
        <f>S57+S58</f>
        <v>31273059</v>
      </c>
      <c r="T59" s="947"/>
      <c r="U59" s="948"/>
      <c r="V59" s="718">
        <f>V57+V58</f>
        <v>4713841</v>
      </c>
      <c r="W59" s="719">
        <f>W57+W58</f>
        <v>4248015</v>
      </c>
      <c r="X59" s="496"/>
    </row>
    <row r="60" spans="1:24" ht="19.5" thickBot="1" x14ac:dyDescent="0.35">
      <c r="A60" s="940"/>
      <c r="B60" s="941"/>
      <c r="C60" s="941"/>
      <c r="D60" s="941"/>
      <c r="E60" s="941"/>
      <c r="F60" s="941"/>
      <c r="G60" s="941"/>
      <c r="H60" s="941"/>
      <c r="I60" s="941"/>
      <c r="J60" s="941"/>
      <c r="K60" s="941"/>
      <c r="L60" s="941"/>
      <c r="M60" s="941"/>
      <c r="N60" s="941"/>
      <c r="O60" s="942"/>
      <c r="P60" s="934">
        <f>SUM(P59:R59)</f>
        <v>40234915</v>
      </c>
      <c r="Q60" s="954"/>
      <c r="R60" s="955"/>
      <c r="S60" s="934">
        <f>SUM(S59:W59)</f>
        <v>40234915</v>
      </c>
      <c r="T60" s="935"/>
      <c r="U60" s="935"/>
      <c r="V60" s="935"/>
      <c r="W60" s="936"/>
    </row>
    <row r="61" spans="1:24" ht="15.75" thickBot="1" x14ac:dyDescent="0.3">
      <c r="P61" s="951">
        <f>S60-P60</f>
        <v>0</v>
      </c>
      <c r="Q61" s="952"/>
      <c r="R61" s="952"/>
      <c r="S61" s="952"/>
      <c r="T61" s="952"/>
      <c r="U61" s="952"/>
      <c r="V61" s="952"/>
      <c r="W61" s="953"/>
    </row>
    <row r="62" spans="1:24" x14ac:dyDescent="0.25">
      <c r="P62" s="720">
        <f>'sumár '!H5</f>
        <v>30998595</v>
      </c>
      <c r="Q62" s="721">
        <f>'sumár '!H9</f>
        <v>7922970</v>
      </c>
      <c r="R62" s="722">
        <f>'sumár '!H13</f>
        <v>1313350</v>
      </c>
      <c r="S62" s="933">
        <f>'sumár '!H4</f>
        <v>31273059</v>
      </c>
      <c r="T62" s="933"/>
      <c r="U62" s="933"/>
      <c r="V62" s="721">
        <f>'sumár '!H8</f>
        <v>4713841</v>
      </c>
      <c r="W62" s="722">
        <f>'sumár '!H12</f>
        <v>4248015</v>
      </c>
    </row>
  </sheetData>
  <mergeCells count="36">
    <mergeCell ref="S62:U62"/>
    <mergeCell ref="S60:W60"/>
    <mergeCell ref="A59:O60"/>
    <mergeCell ref="S57:U57"/>
    <mergeCell ref="S58:U58"/>
    <mergeCell ref="S59:U59"/>
    <mergeCell ref="A58:B58"/>
    <mergeCell ref="P61:W61"/>
    <mergeCell ref="P60:R60"/>
    <mergeCell ref="A1:W1"/>
    <mergeCell ref="S6:U6"/>
    <mergeCell ref="S2:W4"/>
    <mergeCell ref="A55:B55"/>
    <mergeCell ref="N2:N6"/>
    <mergeCell ref="D4:E4"/>
    <mergeCell ref="F4:F6"/>
    <mergeCell ref="O2:R4"/>
    <mergeCell ref="P5:R5"/>
    <mergeCell ref="C2:K2"/>
    <mergeCell ref="L3:L6"/>
    <mergeCell ref="A2:A6"/>
    <mergeCell ref="B2:B6"/>
    <mergeCell ref="K4:K6"/>
    <mergeCell ref="D5:D6"/>
    <mergeCell ref="E5:E6"/>
    <mergeCell ref="A56:B56"/>
    <mergeCell ref="A57:B57"/>
    <mergeCell ref="M3:M6"/>
    <mergeCell ref="A54:B54"/>
    <mergeCell ref="H4:H6"/>
    <mergeCell ref="G4:G6"/>
    <mergeCell ref="I3:I6"/>
    <mergeCell ref="C3:E3"/>
    <mergeCell ref="F3:H3"/>
    <mergeCell ref="J3:J6"/>
    <mergeCell ref="C4:C6"/>
  </mergeCells>
  <pageMargins left="0.7" right="0.7" top="0.75" bottom="0.75" header="0.3" footer="0.3"/>
  <pageSetup paperSize="9" scale="44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65895-A6C6-4A94-8AC8-E1CF00ED9319}">
  <dimension ref="A1:J52"/>
  <sheetViews>
    <sheetView tabSelected="1" topLeftCell="A23" workbookViewId="0">
      <selection activeCell="D15" sqref="D15"/>
    </sheetView>
  </sheetViews>
  <sheetFormatPr defaultRowHeight="15" x14ac:dyDescent="0.25"/>
  <cols>
    <col min="1" max="1" width="3.85546875" bestFit="1" customWidth="1"/>
    <col min="2" max="2" width="55.42578125" bestFit="1" customWidth="1"/>
    <col min="3" max="3" width="28.42578125" bestFit="1" customWidth="1"/>
    <col min="4" max="5" width="13.85546875" bestFit="1" customWidth="1"/>
    <col min="6" max="6" width="15.42578125" bestFit="1" customWidth="1"/>
    <col min="7" max="7" width="20" customWidth="1"/>
    <col min="8" max="8" width="15.42578125" bestFit="1" customWidth="1"/>
    <col min="9" max="9" width="13.85546875" bestFit="1" customWidth="1"/>
    <col min="10" max="10" width="11.42578125" bestFit="1" customWidth="1"/>
  </cols>
  <sheetData>
    <row r="1" spans="1:10" ht="21" thickBot="1" x14ac:dyDescent="0.35">
      <c r="A1" s="983" t="s">
        <v>753</v>
      </c>
      <c r="B1" s="983"/>
      <c r="C1" s="983"/>
      <c r="D1" s="983"/>
      <c r="E1" s="983"/>
      <c r="F1" s="983"/>
      <c r="G1" s="983"/>
      <c r="H1" s="983"/>
      <c r="I1" s="983"/>
      <c r="J1" s="983"/>
    </row>
    <row r="2" spans="1:10" ht="16.5" thickBot="1" x14ac:dyDescent="0.3">
      <c r="A2" s="984" t="s">
        <v>682</v>
      </c>
      <c r="B2" s="985"/>
      <c r="C2" s="990" t="s">
        <v>683</v>
      </c>
      <c r="D2" s="993" t="s">
        <v>684</v>
      </c>
      <c r="E2" s="994"/>
      <c r="F2" s="994"/>
      <c r="G2" s="994"/>
      <c r="H2" s="994"/>
      <c r="I2" s="994"/>
      <c r="J2" s="995"/>
    </row>
    <row r="3" spans="1:10" ht="16.5" thickBot="1" x14ac:dyDescent="0.3">
      <c r="A3" s="986"/>
      <c r="B3" s="987"/>
      <c r="C3" s="991"/>
      <c r="D3" s="996" t="s">
        <v>685</v>
      </c>
      <c r="E3" s="997"/>
      <c r="F3" s="997"/>
      <c r="G3" s="998"/>
      <c r="H3" s="996" t="s">
        <v>686</v>
      </c>
      <c r="I3" s="997"/>
      <c r="J3" s="998"/>
    </row>
    <row r="4" spans="1:10" ht="63.75" thickBot="1" x14ac:dyDescent="0.3">
      <c r="A4" s="988"/>
      <c r="B4" s="989"/>
      <c r="C4" s="992"/>
      <c r="D4" s="724" t="s">
        <v>687</v>
      </c>
      <c r="E4" s="725" t="s">
        <v>688</v>
      </c>
      <c r="F4" s="726" t="s">
        <v>689</v>
      </c>
      <c r="G4" s="724" t="s">
        <v>690</v>
      </c>
      <c r="H4" s="727" t="s">
        <v>691</v>
      </c>
      <c r="I4" s="728" t="s">
        <v>692</v>
      </c>
      <c r="J4" s="729" t="s">
        <v>693</v>
      </c>
    </row>
    <row r="5" spans="1:10" ht="16.5" thickBot="1" x14ac:dyDescent="0.3">
      <c r="A5" s="979" t="s">
        <v>378</v>
      </c>
      <c r="B5" s="980"/>
      <c r="C5" s="730">
        <f>'sumár '!H5</f>
        <v>30998595</v>
      </c>
      <c r="D5" s="731"/>
      <c r="E5" s="728"/>
      <c r="F5" s="732">
        <f>'príjmy '!H65</f>
        <v>14660749</v>
      </c>
      <c r="G5" s="733">
        <f>'príjmy '!H135-92000-13012-9064-9750+'príjmy '!H137</f>
        <v>350189</v>
      </c>
      <c r="H5" s="734">
        <f>C5-J5-G5-F5</f>
        <v>15987657</v>
      </c>
      <c r="I5" s="735"/>
      <c r="J5" s="736"/>
    </row>
    <row r="6" spans="1:10" ht="16.5" thickBot="1" x14ac:dyDescent="0.3">
      <c r="A6" s="981" t="s">
        <v>381</v>
      </c>
      <c r="B6" s="982"/>
      <c r="C6" s="737">
        <f>SUM(C7:C41)</f>
        <v>7922970</v>
      </c>
      <c r="D6" s="738">
        <f>SUM(D7:D41)</f>
        <v>3150000</v>
      </c>
      <c r="E6" s="739">
        <f>SUM(E7:E41)</f>
        <v>3663841</v>
      </c>
      <c r="F6" s="740"/>
      <c r="G6" s="741">
        <f>SUM(G7:G41)</f>
        <v>123826</v>
      </c>
      <c r="H6" s="742">
        <f>SUM(H7:H41)</f>
        <v>361203</v>
      </c>
      <c r="I6" s="743">
        <f>SUM(I7:I41)</f>
        <v>500100</v>
      </c>
      <c r="J6" s="736">
        <f>SUM(J7:J41)</f>
        <v>124000</v>
      </c>
    </row>
    <row r="7" spans="1:10" ht="15.75" x14ac:dyDescent="0.25">
      <c r="A7" s="744" t="s">
        <v>438</v>
      </c>
      <c r="B7" s="745" t="s">
        <v>442</v>
      </c>
      <c r="C7" s="746">
        <v>52700</v>
      </c>
      <c r="D7" s="747"/>
      <c r="E7" s="748"/>
      <c r="F7" s="749"/>
      <c r="G7" s="750"/>
      <c r="H7" s="751">
        <v>39000</v>
      </c>
      <c r="I7" s="752">
        <v>13700</v>
      </c>
      <c r="J7" s="753"/>
    </row>
    <row r="8" spans="1:10" ht="15.75" x14ac:dyDescent="0.25">
      <c r="A8" s="803" t="s">
        <v>748</v>
      </c>
      <c r="B8" s="745" t="s">
        <v>749</v>
      </c>
      <c r="C8" s="746">
        <v>20000</v>
      </c>
      <c r="D8" s="747"/>
      <c r="E8" s="748"/>
      <c r="F8" s="749"/>
      <c r="G8" s="750"/>
      <c r="H8" s="751"/>
      <c r="I8" s="752">
        <v>20000</v>
      </c>
      <c r="J8" s="753"/>
    </row>
    <row r="9" spans="1:10" ht="15.75" x14ac:dyDescent="0.25">
      <c r="A9" s="956" t="s">
        <v>556</v>
      </c>
      <c r="B9" s="745" t="s">
        <v>694</v>
      </c>
      <c r="C9" s="746">
        <v>2705</v>
      </c>
      <c r="D9" s="747"/>
      <c r="E9" s="748"/>
      <c r="F9" s="749"/>
      <c r="G9" s="750"/>
      <c r="H9" s="751"/>
      <c r="I9" s="752">
        <v>2705</v>
      </c>
      <c r="J9" s="753"/>
    </row>
    <row r="10" spans="1:10" ht="15.75" x14ac:dyDescent="0.25">
      <c r="A10" s="958"/>
      <c r="B10" s="754" t="s">
        <v>439</v>
      </c>
      <c r="C10" s="755">
        <v>115000</v>
      </c>
      <c r="D10" s="747"/>
      <c r="E10" s="748"/>
      <c r="F10" s="749"/>
      <c r="G10" s="750"/>
      <c r="H10" s="751"/>
      <c r="I10" s="752"/>
      <c r="J10" s="753">
        <v>115000</v>
      </c>
    </row>
    <row r="11" spans="1:10" ht="15.75" x14ac:dyDescent="0.25">
      <c r="A11" s="803" t="s">
        <v>729</v>
      </c>
      <c r="B11" s="754" t="s">
        <v>741</v>
      </c>
      <c r="C11" s="755">
        <v>6500</v>
      </c>
      <c r="D11" s="747"/>
      <c r="E11" s="748"/>
      <c r="F11" s="749"/>
      <c r="G11" s="750"/>
      <c r="H11" s="751">
        <v>6500</v>
      </c>
      <c r="I11" s="752"/>
      <c r="J11" s="753"/>
    </row>
    <row r="12" spans="1:10" ht="15.75" x14ac:dyDescent="0.25">
      <c r="A12" s="956" t="s">
        <v>666</v>
      </c>
      <c r="B12" s="756" t="s">
        <v>552</v>
      </c>
      <c r="C12" s="755">
        <v>227000</v>
      </c>
      <c r="D12" s="757"/>
      <c r="E12" s="758"/>
      <c r="F12" s="759"/>
      <c r="G12" s="760"/>
      <c r="H12" s="751">
        <v>204000</v>
      </c>
      <c r="I12" s="758">
        <v>14000</v>
      </c>
      <c r="J12" s="761">
        <v>9000</v>
      </c>
    </row>
    <row r="13" spans="1:10" ht="15.75" x14ac:dyDescent="0.25">
      <c r="A13" s="957"/>
      <c r="B13" s="754" t="s">
        <v>756</v>
      </c>
      <c r="C13" s="755">
        <v>10000</v>
      </c>
      <c r="D13" s="757"/>
      <c r="E13" s="758"/>
      <c r="F13" s="759"/>
      <c r="G13" s="760"/>
      <c r="H13" s="751"/>
      <c r="I13" s="758">
        <v>10000</v>
      </c>
      <c r="J13" s="761"/>
    </row>
    <row r="14" spans="1:10" ht="15.75" x14ac:dyDescent="0.25">
      <c r="A14" s="957"/>
      <c r="B14" s="754" t="s">
        <v>695</v>
      </c>
      <c r="C14" s="755">
        <v>2050000</v>
      </c>
      <c r="D14" s="757">
        <v>2050000</v>
      </c>
      <c r="E14" s="758"/>
      <c r="F14" s="759"/>
      <c r="G14" s="760"/>
      <c r="H14" s="751"/>
      <c r="I14" s="758"/>
      <c r="J14" s="761"/>
    </row>
    <row r="15" spans="1:10" ht="15.75" x14ac:dyDescent="0.25">
      <c r="A15" s="957"/>
      <c r="B15" s="754" t="s">
        <v>713</v>
      </c>
      <c r="C15" s="755">
        <v>184000</v>
      </c>
      <c r="D15" s="757"/>
      <c r="E15" s="758">
        <v>184000</v>
      </c>
      <c r="F15" s="759"/>
      <c r="G15" s="760"/>
      <c r="H15" s="751"/>
      <c r="I15" s="758"/>
      <c r="J15" s="761"/>
    </row>
    <row r="16" spans="1:10" ht="15.75" x14ac:dyDescent="0.25">
      <c r="A16" s="958"/>
      <c r="B16" s="754" t="s">
        <v>696</v>
      </c>
      <c r="C16" s="755">
        <v>29000</v>
      </c>
      <c r="D16" s="757"/>
      <c r="E16" s="758"/>
      <c r="F16" s="759"/>
      <c r="G16" s="760"/>
      <c r="H16" s="751">
        <f>9000+20000</f>
        <v>29000</v>
      </c>
      <c r="I16" s="758"/>
      <c r="J16" s="761"/>
    </row>
    <row r="17" spans="1:10" ht="15.75" x14ac:dyDescent="0.25">
      <c r="A17" s="956" t="s">
        <v>644</v>
      </c>
      <c r="B17" s="754" t="s">
        <v>714</v>
      </c>
      <c r="C17" s="755">
        <v>221000</v>
      </c>
      <c r="D17" s="757"/>
      <c r="E17" s="758">
        <v>221000</v>
      </c>
      <c r="F17" s="759"/>
      <c r="G17" s="760"/>
      <c r="H17" s="751"/>
      <c r="I17" s="758"/>
      <c r="J17" s="761"/>
    </row>
    <row r="18" spans="1:10" ht="15.75" x14ac:dyDescent="0.25">
      <c r="A18" s="957"/>
      <c r="B18" s="754" t="s">
        <v>715</v>
      </c>
      <c r="C18" s="755">
        <v>118000</v>
      </c>
      <c r="D18" s="757"/>
      <c r="E18" s="758">
        <v>118000</v>
      </c>
      <c r="F18" s="759"/>
      <c r="G18" s="760"/>
      <c r="H18" s="751"/>
      <c r="I18" s="758"/>
      <c r="J18" s="761"/>
    </row>
    <row r="19" spans="1:10" ht="15.75" x14ac:dyDescent="0.25">
      <c r="A19" s="957"/>
      <c r="B19" s="754" t="s">
        <v>712</v>
      </c>
      <c r="C19" s="755">
        <v>26157</v>
      </c>
      <c r="D19" s="757"/>
      <c r="E19" s="758"/>
      <c r="F19" s="759"/>
      <c r="G19" s="760">
        <v>13012</v>
      </c>
      <c r="H19" s="751">
        <f>133+13012</f>
        <v>13145</v>
      </c>
      <c r="I19" s="758"/>
      <c r="J19" s="761"/>
    </row>
    <row r="20" spans="1:10" ht="15.75" x14ac:dyDescent="0.25">
      <c r="A20" s="957"/>
      <c r="B20" s="754" t="s">
        <v>716</v>
      </c>
      <c r="C20" s="755">
        <v>58000</v>
      </c>
      <c r="D20" s="757"/>
      <c r="E20" s="758">
        <v>58000</v>
      </c>
      <c r="F20" s="759"/>
      <c r="G20" s="760"/>
      <c r="H20" s="751"/>
      <c r="I20" s="758"/>
      <c r="J20" s="761"/>
    </row>
    <row r="21" spans="1:10" ht="15.75" x14ac:dyDescent="0.25">
      <c r="A21" s="957"/>
      <c r="B21" s="754" t="s">
        <v>717</v>
      </c>
      <c r="C21" s="755">
        <v>241000</v>
      </c>
      <c r="D21" s="757"/>
      <c r="E21" s="758">
        <v>241000</v>
      </c>
      <c r="F21" s="759"/>
      <c r="G21" s="760"/>
      <c r="H21" s="751"/>
      <c r="I21" s="758"/>
      <c r="J21" s="761"/>
    </row>
    <row r="22" spans="1:10" ht="15.75" x14ac:dyDescent="0.25">
      <c r="A22" s="957"/>
      <c r="B22" s="754" t="s">
        <v>697</v>
      </c>
      <c r="C22" s="755">
        <v>133000</v>
      </c>
      <c r="D22" s="757"/>
      <c r="E22" s="758">
        <v>41000</v>
      </c>
      <c r="F22" s="759"/>
      <c r="G22" s="760">
        <v>92000</v>
      </c>
      <c r="H22" s="751"/>
      <c r="I22" s="758"/>
      <c r="J22" s="761"/>
    </row>
    <row r="23" spans="1:10" ht="15.75" x14ac:dyDescent="0.25">
      <c r="A23" s="957"/>
      <c r="B23" s="754" t="s">
        <v>719</v>
      </c>
      <c r="C23" s="755">
        <v>284000</v>
      </c>
      <c r="D23" s="757"/>
      <c r="E23" s="758">
        <v>284000</v>
      </c>
      <c r="F23" s="759"/>
      <c r="G23" s="760"/>
      <c r="H23" s="751"/>
      <c r="I23" s="758"/>
      <c r="J23" s="761"/>
    </row>
    <row r="24" spans="1:10" ht="15.75" x14ac:dyDescent="0.25">
      <c r="A24" s="957"/>
      <c r="B24" s="754" t="s">
        <v>698</v>
      </c>
      <c r="C24" s="755">
        <v>377600</v>
      </c>
      <c r="D24" s="757"/>
      <c r="E24" s="758">
        <v>339500</v>
      </c>
      <c r="F24" s="759"/>
      <c r="G24" s="760"/>
      <c r="H24" s="751"/>
      <c r="I24" s="758">
        <v>38100</v>
      </c>
      <c r="J24" s="761"/>
    </row>
    <row r="25" spans="1:10" ht="15.75" x14ac:dyDescent="0.25">
      <c r="A25" s="957"/>
      <c r="B25" s="754" t="s">
        <v>718</v>
      </c>
      <c r="C25" s="755">
        <v>53000</v>
      </c>
      <c r="D25" s="757"/>
      <c r="E25" s="758">
        <v>53000</v>
      </c>
      <c r="F25" s="759"/>
      <c r="G25" s="760"/>
      <c r="H25" s="751"/>
      <c r="I25" s="758"/>
      <c r="J25" s="761"/>
    </row>
    <row r="26" spans="1:10" ht="15.75" x14ac:dyDescent="0.25">
      <c r="A26" s="957"/>
      <c r="B26" s="754" t="s">
        <v>699</v>
      </c>
      <c r="C26" s="755">
        <v>0</v>
      </c>
      <c r="D26" s="757"/>
      <c r="E26" s="758">
        <v>0</v>
      </c>
      <c r="F26" s="759"/>
      <c r="G26" s="760"/>
      <c r="H26" s="751"/>
      <c r="I26" s="758"/>
      <c r="J26" s="761"/>
    </row>
    <row r="27" spans="1:10" ht="15.75" x14ac:dyDescent="0.25">
      <c r="A27" s="958"/>
      <c r="B27" s="756" t="s">
        <v>617</v>
      </c>
      <c r="C27" s="755">
        <v>26988</v>
      </c>
      <c r="D27" s="757"/>
      <c r="E27" s="758"/>
      <c r="F27" s="759"/>
      <c r="G27" s="760"/>
      <c r="H27" s="751">
        <v>26988</v>
      </c>
      <c r="I27" s="758"/>
      <c r="J27" s="761"/>
    </row>
    <row r="28" spans="1:10" ht="15.75" x14ac:dyDescent="0.25">
      <c r="A28" s="956" t="s">
        <v>669</v>
      </c>
      <c r="B28" s="756" t="s">
        <v>740</v>
      </c>
      <c r="C28" s="755">
        <v>5690</v>
      </c>
      <c r="D28" s="757"/>
      <c r="E28" s="758"/>
      <c r="F28" s="759"/>
      <c r="G28" s="760"/>
      <c r="H28" s="751">
        <v>5690</v>
      </c>
      <c r="I28" s="758"/>
      <c r="J28" s="761"/>
    </row>
    <row r="29" spans="1:10" ht="15.75" x14ac:dyDescent="0.25">
      <c r="A29" s="958"/>
      <c r="B29" s="756" t="s">
        <v>700</v>
      </c>
      <c r="C29" s="755">
        <v>550000</v>
      </c>
      <c r="D29" s="762">
        <v>550000</v>
      </c>
      <c r="E29" s="752"/>
      <c r="F29" s="763"/>
      <c r="G29" s="764"/>
      <c r="H29" s="751"/>
      <c r="I29" s="758"/>
      <c r="J29" s="761"/>
    </row>
    <row r="30" spans="1:10" ht="15.75" x14ac:dyDescent="0.25">
      <c r="A30" s="956" t="s">
        <v>619</v>
      </c>
      <c r="B30" s="756" t="s">
        <v>720</v>
      </c>
      <c r="C30" s="755">
        <v>37650</v>
      </c>
      <c r="D30" s="762"/>
      <c r="E30" s="752"/>
      <c r="F30" s="763"/>
      <c r="G30" s="765">
        <v>9750</v>
      </c>
      <c r="H30" s="766"/>
      <c r="I30" s="758">
        <f>18150+9750</f>
        <v>27900</v>
      </c>
      <c r="J30" s="761"/>
    </row>
    <row r="31" spans="1:10" ht="15.75" x14ac:dyDescent="0.25">
      <c r="A31" s="957"/>
      <c r="B31" s="756" t="s">
        <v>642</v>
      </c>
      <c r="C31" s="755">
        <v>39644</v>
      </c>
      <c r="D31" s="762"/>
      <c r="E31" s="752"/>
      <c r="F31" s="763"/>
      <c r="G31" s="765">
        <v>9064</v>
      </c>
      <c r="H31" s="766"/>
      <c r="I31" s="758">
        <v>30580</v>
      </c>
      <c r="J31" s="761"/>
    </row>
    <row r="32" spans="1:10" ht="15.75" x14ac:dyDescent="0.25">
      <c r="A32" s="957"/>
      <c r="B32" s="756" t="s">
        <v>581</v>
      </c>
      <c r="C32" s="755">
        <v>246600</v>
      </c>
      <c r="D32" s="757"/>
      <c r="E32" s="758"/>
      <c r="F32" s="759"/>
      <c r="G32" s="767"/>
      <c r="H32" s="766"/>
      <c r="I32" s="758">
        <v>246600</v>
      </c>
      <c r="J32" s="761"/>
    </row>
    <row r="33" spans="1:10" ht="15.75" x14ac:dyDescent="0.25">
      <c r="A33" s="958"/>
      <c r="B33" s="756" t="s">
        <v>701</v>
      </c>
      <c r="C33" s="755">
        <v>0</v>
      </c>
      <c r="D33" s="757"/>
      <c r="E33" s="758">
        <v>0</v>
      </c>
      <c r="F33" s="759"/>
      <c r="G33" s="767"/>
      <c r="H33" s="766"/>
      <c r="I33" s="758"/>
      <c r="J33" s="761"/>
    </row>
    <row r="34" spans="1:10" ht="15.75" x14ac:dyDescent="0.25">
      <c r="A34" s="956" t="s">
        <v>630</v>
      </c>
      <c r="B34" s="756" t="s">
        <v>702</v>
      </c>
      <c r="C34" s="755">
        <v>530000</v>
      </c>
      <c r="D34" s="757"/>
      <c r="E34" s="758">
        <v>530000</v>
      </c>
      <c r="F34" s="759"/>
      <c r="G34" s="767"/>
      <c r="H34" s="766"/>
      <c r="I34" s="758"/>
      <c r="J34" s="761"/>
    </row>
    <row r="35" spans="1:10" ht="15.75" x14ac:dyDescent="0.25">
      <c r="A35" s="957"/>
      <c r="B35" s="756" t="s">
        <v>703</v>
      </c>
      <c r="C35" s="755">
        <v>22730</v>
      </c>
      <c r="D35" s="757"/>
      <c r="E35" s="758"/>
      <c r="F35" s="759"/>
      <c r="G35" s="767"/>
      <c r="H35" s="766"/>
      <c r="I35" s="758">
        <v>22730</v>
      </c>
      <c r="J35" s="761"/>
    </row>
    <row r="36" spans="1:10" ht="15.75" x14ac:dyDescent="0.25">
      <c r="A36" s="957"/>
      <c r="B36" s="756" t="s">
        <v>758</v>
      </c>
      <c r="C36" s="755">
        <v>350000</v>
      </c>
      <c r="D36" s="757">
        <v>350000</v>
      </c>
      <c r="E36" s="758"/>
      <c r="F36" s="759"/>
      <c r="G36" s="767"/>
      <c r="H36" s="766"/>
      <c r="I36" s="758"/>
      <c r="J36" s="761"/>
    </row>
    <row r="37" spans="1:10" ht="15.75" x14ac:dyDescent="0.25">
      <c r="A37" s="958"/>
      <c r="B37" s="756" t="s">
        <v>755</v>
      </c>
      <c r="C37" s="755">
        <v>6000</v>
      </c>
      <c r="D37" s="757"/>
      <c r="E37" s="758">
        <v>3000</v>
      </c>
      <c r="F37" s="759"/>
      <c r="G37" s="767"/>
      <c r="H37" s="766"/>
      <c r="I37" s="758">
        <v>3000</v>
      </c>
      <c r="J37" s="761"/>
    </row>
    <row r="38" spans="1:10" ht="15.75" x14ac:dyDescent="0.25">
      <c r="A38" s="956" t="s">
        <v>603</v>
      </c>
      <c r="B38" s="756" t="s">
        <v>662</v>
      </c>
      <c r="C38" s="755">
        <v>1617000</v>
      </c>
      <c r="D38" s="757">
        <v>200000</v>
      </c>
      <c r="E38" s="758">
        <v>1365000</v>
      </c>
      <c r="F38" s="759"/>
      <c r="G38" s="767"/>
      <c r="H38" s="766"/>
      <c r="I38" s="758">
        <v>52000</v>
      </c>
      <c r="J38" s="761"/>
    </row>
    <row r="39" spans="1:10" ht="15.75" x14ac:dyDescent="0.25">
      <c r="A39" s="958"/>
      <c r="B39" s="754" t="s">
        <v>533</v>
      </c>
      <c r="C39" s="755">
        <v>16341</v>
      </c>
      <c r="D39" s="757"/>
      <c r="E39" s="758">
        <v>6341</v>
      </c>
      <c r="F39" s="759"/>
      <c r="G39" s="767"/>
      <c r="H39" s="766">
        <v>10000</v>
      </c>
      <c r="I39" s="758"/>
      <c r="J39" s="761"/>
    </row>
    <row r="40" spans="1:10" ht="15.75" x14ac:dyDescent="0.25">
      <c r="A40" s="956" t="s">
        <v>629</v>
      </c>
      <c r="B40" s="768" t="s">
        <v>649</v>
      </c>
      <c r="C40" s="769">
        <v>242000</v>
      </c>
      <c r="D40" s="757"/>
      <c r="E40" s="758">
        <v>220000</v>
      </c>
      <c r="F40" s="759"/>
      <c r="G40" s="767"/>
      <c r="H40" s="766">
        <v>22000</v>
      </c>
      <c r="I40" s="758"/>
      <c r="J40" s="761"/>
    </row>
    <row r="41" spans="1:10" ht="16.5" thickBot="1" x14ac:dyDescent="0.3">
      <c r="A41" s="974"/>
      <c r="B41" s="770" t="s">
        <v>440</v>
      </c>
      <c r="C41" s="769">
        <v>23665</v>
      </c>
      <c r="D41" s="757"/>
      <c r="E41" s="758"/>
      <c r="F41" s="759"/>
      <c r="G41" s="760"/>
      <c r="H41" s="751">
        <v>4880</v>
      </c>
      <c r="I41" s="758">
        <v>18785</v>
      </c>
      <c r="J41" s="761"/>
    </row>
    <row r="42" spans="1:10" ht="16.5" thickBot="1" x14ac:dyDescent="0.3">
      <c r="A42" s="975" t="s">
        <v>704</v>
      </c>
      <c r="B42" s="976"/>
      <c r="C42" s="771">
        <f>SUM(C43:C46)</f>
        <v>1313350</v>
      </c>
      <c r="D42" s="772">
        <f>SUM(D43:D46)</f>
        <v>500000</v>
      </c>
      <c r="E42" s="773">
        <f>SUM(E43:E46)</f>
        <v>0</v>
      </c>
      <c r="F42" s="774"/>
      <c r="G42" s="775">
        <f>SUM(G43:G46)</f>
        <v>0</v>
      </c>
      <c r="H42" s="776">
        <f>SUM(H43:H46)</f>
        <v>263450</v>
      </c>
      <c r="I42" s="773">
        <f>SUM(I43:I46)</f>
        <v>549900</v>
      </c>
      <c r="J42" s="775">
        <f>SUM(J43:J46)</f>
        <v>0</v>
      </c>
    </row>
    <row r="43" spans="1:10" x14ac:dyDescent="0.25">
      <c r="A43" s="977" t="s">
        <v>705</v>
      </c>
      <c r="B43" s="978"/>
      <c r="C43" s="777">
        <v>222350</v>
      </c>
      <c r="D43" s="757"/>
      <c r="E43" s="758"/>
      <c r="F43" s="759"/>
      <c r="G43" s="778"/>
      <c r="H43" s="779">
        <v>222350</v>
      </c>
      <c r="I43" s="758"/>
      <c r="J43" s="761"/>
    </row>
    <row r="44" spans="1:10" x14ac:dyDescent="0.25">
      <c r="A44" s="962" t="s">
        <v>706</v>
      </c>
      <c r="B44" s="963"/>
      <c r="C44" s="780">
        <v>16000</v>
      </c>
      <c r="D44" s="781"/>
      <c r="E44" s="782"/>
      <c r="F44" s="783"/>
      <c r="G44" s="784"/>
      <c r="H44" s="785">
        <v>16000</v>
      </c>
      <c r="I44" s="782"/>
      <c r="J44" s="786"/>
    </row>
    <row r="45" spans="1:10" x14ac:dyDescent="0.25">
      <c r="A45" s="962" t="s">
        <v>707</v>
      </c>
      <c r="B45" s="963"/>
      <c r="C45" s="780">
        <v>575000</v>
      </c>
      <c r="D45" s="781"/>
      <c r="E45" s="782"/>
      <c r="F45" s="783"/>
      <c r="G45" s="784"/>
      <c r="H45" s="785">
        <v>25100</v>
      </c>
      <c r="I45" s="782">
        <v>549900</v>
      </c>
      <c r="J45" s="786"/>
    </row>
    <row r="46" spans="1:10" ht="15.75" thickBot="1" x14ac:dyDescent="0.3">
      <c r="A46" s="962" t="s">
        <v>708</v>
      </c>
      <c r="B46" s="963"/>
      <c r="C46" s="780">
        <v>500000</v>
      </c>
      <c r="D46" s="787">
        <v>500000</v>
      </c>
      <c r="E46" s="788"/>
      <c r="F46" s="789"/>
      <c r="G46" s="790"/>
      <c r="H46" s="785"/>
      <c r="I46" s="782"/>
      <c r="J46" s="786"/>
    </row>
    <row r="47" spans="1:10" ht="18.75" thickBot="1" x14ac:dyDescent="0.3">
      <c r="A47" s="964" t="s">
        <v>613</v>
      </c>
      <c r="B47" s="965"/>
      <c r="C47" s="968">
        <f>C42+C6+C5</f>
        <v>40234915</v>
      </c>
      <c r="D47" s="791">
        <f t="shared" ref="D47:J47" si="0">D5+D6+D42</f>
        <v>3650000</v>
      </c>
      <c r="E47" s="792">
        <f t="shared" si="0"/>
        <v>3663841</v>
      </c>
      <c r="F47" s="793">
        <f t="shared" si="0"/>
        <v>14660749</v>
      </c>
      <c r="G47" s="791">
        <f t="shared" si="0"/>
        <v>474015</v>
      </c>
      <c r="H47" s="794">
        <f>H5+H6+H42</f>
        <v>16612310</v>
      </c>
      <c r="I47" s="792">
        <f t="shared" si="0"/>
        <v>1050000</v>
      </c>
      <c r="J47" s="795">
        <f t="shared" si="0"/>
        <v>124000</v>
      </c>
    </row>
    <row r="48" spans="1:10" ht="18.75" thickBot="1" x14ac:dyDescent="0.3">
      <c r="A48" s="966"/>
      <c r="B48" s="967"/>
      <c r="C48" s="969"/>
      <c r="D48" s="970">
        <f>SUM(D47:J47)</f>
        <v>40234915</v>
      </c>
      <c r="E48" s="971"/>
      <c r="F48" s="971"/>
      <c r="G48" s="971"/>
      <c r="H48" s="971"/>
      <c r="I48" s="971"/>
      <c r="J48" s="972"/>
    </row>
    <row r="49" spans="1:10" x14ac:dyDescent="0.25">
      <c r="A49" s="522"/>
      <c r="B49" s="474"/>
      <c r="C49" s="522">
        <f>'sumár '!H17</f>
        <v>40234915</v>
      </c>
      <c r="D49" s="973">
        <f>'sumár '!H16</f>
        <v>40234915</v>
      </c>
      <c r="E49" s="973"/>
      <c r="F49" s="973"/>
      <c r="G49" s="973"/>
      <c r="H49" s="973"/>
      <c r="I49" s="973"/>
      <c r="J49" s="973"/>
    </row>
    <row r="50" spans="1:10" x14ac:dyDescent="0.25">
      <c r="A50" s="959" t="s">
        <v>709</v>
      </c>
      <c r="B50" s="959"/>
      <c r="C50" s="812">
        <f>'výdavky '!AC6</f>
        <v>30998595</v>
      </c>
      <c r="D50" s="814">
        <f>'príjmy '!H138+'príjmy '!H140</f>
        <v>3650000</v>
      </c>
      <c r="E50" s="813">
        <f>'príjmy '!H112</f>
        <v>3663841</v>
      </c>
      <c r="F50" s="812">
        <f>'príjmy '!H65</f>
        <v>14660749</v>
      </c>
      <c r="G50" s="814">
        <f>'príjmy '!H135+'príjmy '!H137</f>
        <v>474015</v>
      </c>
      <c r="H50" s="812">
        <f>'príjmy '!H5+'príjmy '!H7+'príjmy '!H9+'príjmy '!H19+'príjmy '!H32+'príjmy '!H55</f>
        <v>16612310</v>
      </c>
      <c r="I50" s="813">
        <f>'príjmy '!H108</f>
        <v>1050000</v>
      </c>
      <c r="J50" s="814">
        <f>'príjmy '!H133</f>
        <v>124000</v>
      </c>
    </row>
    <row r="51" spans="1:10" x14ac:dyDescent="0.25">
      <c r="A51" s="960" t="s">
        <v>710</v>
      </c>
      <c r="B51" s="960"/>
      <c r="C51" s="813">
        <f>'výdavky '!AD6</f>
        <v>7922970</v>
      </c>
    </row>
    <row r="52" spans="1:10" x14ac:dyDescent="0.25">
      <c r="A52" s="961" t="s">
        <v>711</v>
      </c>
      <c r="B52" s="961"/>
      <c r="C52" s="814">
        <f>'výdavky '!AE6</f>
        <v>1313350</v>
      </c>
    </row>
  </sheetData>
  <mergeCells count="28">
    <mergeCell ref="A5:B5"/>
    <mergeCell ref="A6:B6"/>
    <mergeCell ref="A9:A10"/>
    <mergeCell ref="A12:A16"/>
    <mergeCell ref="A1:J1"/>
    <mergeCell ref="A2:B4"/>
    <mergeCell ref="C2:C4"/>
    <mergeCell ref="D2:J2"/>
    <mergeCell ref="D3:G3"/>
    <mergeCell ref="H3:J3"/>
    <mergeCell ref="C47:C48"/>
    <mergeCell ref="D48:J48"/>
    <mergeCell ref="D49:J49"/>
    <mergeCell ref="A38:A39"/>
    <mergeCell ref="A40:A41"/>
    <mergeCell ref="A42:B42"/>
    <mergeCell ref="A43:B43"/>
    <mergeCell ref="A44:B44"/>
    <mergeCell ref="A34:A37"/>
    <mergeCell ref="A50:B50"/>
    <mergeCell ref="A51:B51"/>
    <mergeCell ref="A52:B52"/>
    <mergeCell ref="A17:A27"/>
    <mergeCell ref="A30:A33"/>
    <mergeCell ref="A45:B45"/>
    <mergeCell ref="A46:B46"/>
    <mergeCell ref="A47:B48"/>
    <mergeCell ref="A28:A29"/>
  </mergeCells>
  <pageMargins left="0.7" right="0.7" top="0.75" bottom="0.75" header="0.3" footer="0.3"/>
  <pageSetup paperSize="9" scale="5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4</vt:i4>
      </vt:variant>
    </vt:vector>
  </HeadingPairs>
  <TitlesOfParts>
    <vt:vector size="13" baseType="lpstr">
      <vt:lpstr>príjmy </vt:lpstr>
      <vt:lpstr>výdavky </vt:lpstr>
      <vt:lpstr>pomocná tabuľka - príjmy 2013</vt:lpstr>
      <vt:lpstr>pomocná tabuľka - výdavky 2013</vt:lpstr>
      <vt:lpstr>pomocná tabuľka - sumár 2013</vt:lpstr>
      <vt:lpstr>sumár </vt:lpstr>
      <vt:lpstr>investície</vt:lpstr>
      <vt:lpstr>Rozpočet celkový</vt:lpstr>
      <vt:lpstr>zdroje financovania</vt:lpstr>
      <vt:lpstr>'pomocná tabuľka - príjmy 2013'!Názvy_tlače</vt:lpstr>
      <vt:lpstr>'pomocná tabuľka - výdavky 2013'!Názvy_tlače</vt:lpstr>
      <vt:lpstr>'príjmy '!Názvy_tlače</vt:lpstr>
      <vt:lpstr>'výdavky 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Original HM</dc:creator>
  <cp:lastModifiedBy>Jana Kovacikova</cp:lastModifiedBy>
  <cp:lastPrinted>2026-06-10T10:49:06Z</cp:lastPrinted>
  <dcterms:created xsi:type="dcterms:W3CDTF">2013-01-26T12:47:58Z</dcterms:created>
  <dcterms:modified xsi:type="dcterms:W3CDTF">2026-06-10T10:49:09Z</dcterms:modified>
</cp:coreProperties>
</file>