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6\Mesačné plnenie 2026\Apríl 2026\"/>
    </mc:Choice>
  </mc:AlternateContent>
  <xr:revisionPtr revIDLastSave="0" documentId="13_ncr:1_{ED3AA817-354D-4620-A0C3-9BDD56DD35B4}" xr6:coauthVersionLast="47" xr6:coauthVersionMax="47" xr10:uidLastSave="{00000000-0000-0000-0000-000000000000}"/>
  <bookViews>
    <workbookView xWindow="-120" yWindow="-120" windowWidth="29040" windowHeight="15840" tabRatio="638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Rozpočet celkový" sheetId="13" r:id="rId8"/>
  </sheets>
  <externalReferences>
    <externalReference r:id="rId9"/>
    <externalReference r:id="rId10"/>
    <externalReference r:id="rId11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7" l="1"/>
  <c r="C29" i="7"/>
  <c r="B30" i="7"/>
  <c r="B29" i="7"/>
  <c r="N22" i="13" l="1"/>
  <c r="N15" i="13"/>
  <c r="N14" i="13"/>
  <c r="S58" i="13" l="1"/>
  <c r="C104" i="5"/>
  <c r="Q58" i="13" l="1"/>
  <c r="P58" i="13"/>
  <c r="K183" i="6"/>
  <c r="K182" i="6"/>
  <c r="K181" i="6"/>
  <c r="K179" i="6"/>
  <c r="K178" i="6"/>
  <c r="K177" i="6"/>
  <c r="K176" i="6"/>
  <c r="K175" i="6"/>
  <c r="K173" i="6"/>
  <c r="K172" i="6"/>
  <c r="K171" i="6"/>
  <c r="K170" i="6"/>
  <c r="K169" i="6"/>
  <c r="K167" i="6"/>
  <c r="K166" i="6"/>
  <c r="K165" i="6"/>
  <c r="K164" i="6"/>
  <c r="K162" i="6"/>
  <c r="K161" i="6"/>
  <c r="K160" i="6"/>
  <c r="K159" i="6"/>
  <c r="K158" i="6"/>
  <c r="K156" i="6"/>
  <c r="K155" i="6"/>
  <c r="K154" i="6"/>
  <c r="K151" i="6"/>
  <c r="K150" i="6"/>
  <c r="K149" i="6"/>
  <c r="K148" i="6"/>
  <c r="K147" i="6"/>
  <c r="K146" i="6"/>
  <c r="K145" i="6"/>
  <c r="K144" i="6"/>
  <c r="K143" i="6"/>
  <c r="K142" i="6"/>
  <c r="K139" i="6"/>
  <c r="K138" i="6"/>
  <c r="K137" i="6"/>
  <c r="K136" i="6"/>
  <c r="K135" i="6"/>
  <c r="K134" i="6"/>
  <c r="K132" i="6"/>
  <c r="K130" i="6"/>
  <c r="K129" i="6"/>
  <c r="K128" i="6"/>
  <c r="K127" i="6"/>
  <c r="K126" i="6"/>
  <c r="K125" i="6"/>
  <c r="K124" i="6"/>
  <c r="K123" i="6"/>
  <c r="K121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2" i="6"/>
  <c r="K90" i="6"/>
  <c r="K89" i="6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50" i="6"/>
  <c r="K49" i="6"/>
  <c r="K47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3" i="6"/>
  <c r="J182" i="6"/>
  <c r="J181" i="6"/>
  <c r="J179" i="6"/>
  <c r="J178" i="6"/>
  <c r="J177" i="6"/>
  <c r="J176" i="6"/>
  <c r="J175" i="6"/>
  <c r="J173" i="6"/>
  <c r="J172" i="6"/>
  <c r="J171" i="6"/>
  <c r="J170" i="6"/>
  <c r="J169" i="6"/>
  <c r="J167" i="6"/>
  <c r="J166" i="6"/>
  <c r="J165" i="6"/>
  <c r="J164" i="6"/>
  <c r="J162" i="6"/>
  <c r="J161" i="6"/>
  <c r="J160" i="6"/>
  <c r="J159" i="6"/>
  <c r="J158" i="6"/>
  <c r="J156" i="6"/>
  <c r="J155" i="6"/>
  <c r="J154" i="6"/>
  <c r="J151" i="6"/>
  <c r="J150" i="6"/>
  <c r="J149" i="6"/>
  <c r="J148" i="6"/>
  <c r="J147" i="6"/>
  <c r="J146" i="6"/>
  <c r="J145" i="6"/>
  <c r="J144" i="6"/>
  <c r="J143" i="6"/>
  <c r="J142" i="6"/>
  <c r="J139" i="6"/>
  <c r="J138" i="6"/>
  <c r="J137" i="6"/>
  <c r="J136" i="6"/>
  <c r="J135" i="6"/>
  <c r="J134" i="6"/>
  <c r="J132" i="6"/>
  <c r="J130" i="6"/>
  <c r="J129" i="6"/>
  <c r="J128" i="6"/>
  <c r="J127" i="6"/>
  <c r="J126" i="6"/>
  <c r="J125" i="6"/>
  <c r="J124" i="6"/>
  <c r="J123" i="6"/>
  <c r="J121" i="6"/>
  <c r="J119" i="6"/>
  <c r="J118" i="6"/>
  <c r="J117" i="6"/>
  <c r="J116" i="6"/>
  <c r="J115" i="6"/>
  <c r="J114" i="6"/>
  <c r="J112" i="6"/>
  <c r="J111" i="6"/>
  <c r="J110" i="6"/>
  <c r="J109" i="6"/>
  <c r="J108" i="6"/>
  <c r="J107" i="6"/>
  <c r="J105" i="6"/>
  <c r="J104" i="6"/>
  <c r="J103" i="6"/>
  <c r="J102" i="6"/>
  <c r="J101" i="6"/>
  <c r="J100" i="6"/>
  <c r="J99" i="6"/>
  <c r="J98" i="6"/>
  <c r="J96" i="6"/>
  <c r="J94" i="6"/>
  <c r="J92" i="6"/>
  <c r="J90" i="6"/>
  <c r="J89" i="6"/>
  <c r="J87" i="6"/>
  <c r="J86" i="6"/>
  <c r="J84" i="6"/>
  <c r="J83" i="6"/>
  <c r="J82" i="6"/>
  <c r="J81" i="6"/>
  <c r="J80" i="6"/>
  <c r="J79" i="6"/>
  <c r="J78" i="6"/>
  <c r="J75" i="6"/>
  <c r="J74" i="6"/>
  <c r="J73" i="6"/>
  <c r="J71" i="6"/>
  <c r="J70" i="6"/>
  <c r="J67" i="6"/>
  <c r="J66" i="6"/>
  <c r="J64" i="6"/>
  <c r="J63" i="6"/>
  <c r="J62" i="6"/>
  <c r="J61" i="6"/>
  <c r="J59" i="6"/>
  <c r="J58" i="6"/>
  <c r="J57" i="6"/>
  <c r="J56" i="6"/>
  <c r="J55" i="6"/>
  <c r="J54" i="6"/>
  <c r="J51" i="6"/>
  <c r="J50" i="6"/>
  <c r="J49" i="6"/>
  <c r="J47" i="6"/>
  <c r="J45" i="6"/>
  <c r="J44" i="6"/>
  <c r="J43" i="6"/>
  <c r="J42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6" i="6"/>
  <c r="J15" i="6"/>
  <c r="J13" i="6"/>
  <c r="J12" i="6"/>
  <c r="J10" i="6"/>
  <c r="I183" i="6"/>
  <c r="I182" i="6"/>
  <c r="I181" i="6"/>
  <c r="I179" i="6"/>
  <c r="I178" i="6"/>
  <c r="I177" i="6"/>
  <c r="I176" i="6"/>
  <c r="I175" i="6"/>
  <c r="I173" i="6"/>
  <c r="I172" i="6"/>
  <c r="I171" i="6"/>
  <c r="I170" i="6"/>
  <c r="I169" i="6"/>
  <c r="I167" i="6"/>
  <c r="I166" i="6"/>
  <c r="I165" i="6"/>
  <c r="I164" i="6"/>
  <c r="I162" i="6"/>
  <c r="I161" i="6"/>
  <c r="I160" i="6"/>
  <c r="I159" i="6"/>
  <c r="I158" i="6"/>
  <c r="I156" i="6"/>
  <c r="I155" i="6"/>
  <c r="I154" i="6"/>
  <c r="I151" i="6"/>
  <c r="I150" i="6"/>
  <c r="I149" i="6"/>
  <c r="I148" i="6"/>
  <c r="I147" i="6"/>
  <c r="I146" i="6"/>
  <c r="I145" i="6"/>
  <c r="I144" i="6"/>
  <c r="I143" i="6"/>
  <c r="I142" i="6"/>
  <c r="I139" i="6"/>
  <c r="I138" i="6"/>
  <c r="I137" i="6"/>
  <c r="I136" i="6"/>
  <c r="I135" i="6"/>
  <c r="I134" i="6"/>
  <c r="I132" i="6"/>
  <c r="I130" i="6"/>
  <c r="I129" i="6"/>
  <c r="I128" i="6"/>
  <c r="I127" i="6"/>
  <c r="I126" i="6"/>
  <c r="I125" i="6"/>
  <c r="I124" i="6"/>
  <c r="I123" i="6"/>
  <c r="I121" i="6"/>
  <c r="I119" i="6"/>
  <c r="I118" i="6"/>
  <c r="I117" i="6"/>
  <c r="I116" i="6"/>
  <c r="I115" i="6"/>
  <c r="I114" i="6"/>
  <c r="I112" i="6"/>
  <c r="I111" i="6"/>
  <c r="I110" i="6"/>
  <c r="I109" i="6"/>
  <c r="I108" i="6"/>
  <c r="I107" i="6"/>
  <c r="I105" i="6"/>
  <c r="I104" i="6"/>
  <c r="I103" i="6"/>
  <c r="I102" i="6"/>
  <c r="I101" i="6"/>
  <c r="I100" i="6"/>
  <c r="I99" i="6"/>
  <c r="I98" i="6"/>
  <c r="I96" i="6"/>
  <c r="I94" i="6"/>
  <c r="I92" i="6"/>
  <c r="I90" i="6"/>
  <c r="I89" i="6"/>
  <c r="I87" i="6"/>
  <c r="I86" i="6"/>
  <c r="I84" i="6"/>
  <c r="I83" i="6"/>
  <c r="I82" i="6"/>
  <c r="I81" i="6"/>
  <c r="I80" i="6"/>
  <c r="I79" i="6"/>
  <c r="I78" i="6"/>
  <c r="I75" i="6"/>
  <c r="I74" i="6"/>
  <c r="I73" i="6"/>
  <c r="I71" i="6"/>
  <c r="I70" i="6"/>
  <c r="I67" i="6"/>
  <c r="I66" i="6"/>
  <c r="I64" i="6"/>
  <c r="I63" i="6"/>
  <c r="I62" i="6"/>
  <c r="I61" i="6"/>
  <c r="I59" i="6"/>
  <c r="I58" i="6"/>
  <c r="I57" i="6"/>
  <c r="I56" i="6"/>
  <c r="I55" i="6"/>
  <c r="I54" i="6"/>
  <c r="I51" i="6"/>
  <c r="I50" i="6"/>
  <c r="I49" i="6"/>
  <c r="I47" i="6"/>
  <c r="I45" i="6"/>
  <c r="I44" i="6"/>
  <c r="I43" i="6"/>
  <c r="I42" i="6"/>
  <c r="I41" i="6"/>
  <c r="I40" i="6"/>
  <c r="I38" i="6"/>
  <c r="I37" i="6"/>
  <c r="I35" i="6"/>
  <c r="I34" i="6"/>
  <c r="I33" i="6"/>
  <c r="I31" i="6"/>
  <c r="I30" i="6"/>
  <c r="I29" i="6"/>
  <c r="I28" i="6"/>
  <c r="I27" i="6"/>
  <c r="I26" i="6"/>
  <c r="I25" i="6"/>
  <c r="I24" i="6"/>
  <c r="I21" i="6"/>
  <c r="I20" i="6"/>
  <c r="I19" i="6"/>
  <c r="I17" i="6"/>
  <c r="I13" i="6"/>
  <c r="G183" i="6"/>
  <c r="G182" i="6"/>
  <c r="G181" i="6"/>
  <c r="G179" i="6"/>
  <c r="G178" i="6"/>
  <c r="G177" i="6"/>
  <c r="G176" i="6"/>
  <c r="G175" i="6"/>
  <c r="G173" i="6"/>
  <c r="G172" i="6"/>
  <c r="G171" i="6"/>
  <c r="G170" i="6"/>
  <c r="G169" i="6"/>
  <c r="G167" i="6"/>
  <c r="G166" i="6"/>
  <c r="G165" i="6"/>
  <c r="G164" i="6"/>
  <c r="G162" i="6"/>
  <c r="G161" i="6"/>
  <c r="G160" i="6"/>
  <c r="G159" i="6"/>
  <c r="G158" i="6"/>
  <c r="G156" i="6"/>
  <c r="G155" i="6"/>
  <c r="G154" i="6"/>
  <c r="G151" i="6"/>
  <c r="G150" i="6"/>
  <c r="G149" i="6"/>
  <c r="G148" i="6"/>
  <c r="G147" i="6"/>
  <c r="G146" i="6"/>
  <c r="G145" i="6"/>
  <c r="G144" i="6"/>
  <c r="G143" i="6"/>
  <c r="G142" i="6"/>
  <c r="G139" i="6"/>
  <c r="G138" i="6"/>
  <c r="G137" i="6"/>
  <c r="G136" i="6"/>
  <c r="G135" i="6"/>
  <c r="G134" i="6"/>
  <c r="G132" i="6"/>
  <c r="G130" i="6"/>
  <c r="G129" i="6"/>
  <c r="G128" i="6"/>
  <c r="G127" i="6"/>
  <c r="G126" i="6"/>
  <c r="G125" i="6"/>
  <c r="G124" i="6"/>
  <c r="G123" i="6"/>
  <c r="G121" i="6"/>
  <c r="G119" i="6"/>
  <c r="G118" i="6"/>
  <c r="G117" i="6"/>
  <c r="G116" i="6"/>
  <c r="G115" i="6"/>
  <c r="G114" i="6"/>
  <c r="G112" i="6"/>
  <c r="G111" i="6"/>
  <c r="G110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4" i="6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1" i="6"/>
  <c r="G70" i="6"/>
  <c r="G67" i="6"/>
  <c r="G66" i="6"/>
  <c r="G64" i="6"/>
  <c r="G63" i="6"/>
  <c r="G62" i="6"/>
  <c r="G61" i="6"/>
  <c r="G59" i="6"/>
  <c r="G58" i="6"/>
  <c r="G57" i="6"/>
  <c r="G56" i="6"/>
  <c r="G55" i="6"/>
  <c r="G54" i="6"/>
  <c r="G51" i="6"/>
  <c r="G50" i="6"/>
  <c r="G49" i="6"/>
  <c r="G47" i="6"/>
  <c r="G45" i="6"/>
  <c r="G44" i="6"/>
  <c r="G43" i="6"/>
  <c r="G42" i="6"/>
  <c r="G41" i="6"/>
  <c r="G40" i="6"/>
  <c r="G38" i="6"/>
  <c r="G37" i="6"/>
  <c r="G35" i="6"/>
  <c r="G34" i="6"/>
  <c r="G33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5" i="6"/>
  <c r="G13" i="6"/>
  <c r="G12" i="6"/>
  <c r="G11" i="6"/>
  <c r="G10" i="6"/>
  <c r="F183" i="6"/>
  <c r="F182" i="6"/>
  <c r="F181" i="6"/>
  <c r="F179" i="6"/>
  <c r="F178" i="6"/>
  <c r="F177" i="6"/>
  <c r="F176" i="6"/>
  <c r="F175" i="6"/>
  <c r="F173" i="6"/>
  <c r="F172" i="6"/>
  <c r="F171" i="6"/>
  <c r="F170" i="6"/>
  <c r="F169" i="6"/>
  <c r="F167" i="6"/>
  <c r="F166" i="6"/>
  <c r="F165" i="6"/>
  <c r="F164" i="6"/>
  <c r="F162" i="6"/>
  <c r="F161" i="6"/>
  <c r="F160" i="6"/>
  <c r="F159" i="6"/>
  <c r="F158" i="6"/>
  <c r="F156" i="6"/>
  <c r="F155" i="6"/>
  <c r="F154" i="6"/>
  <c r="F151" i="6"/>
  <c r="F150" i="6"/>
  <c r="F149" i="6"/>
  <c r="F148" i="6"/>
  <c r="F147" i="6"/>
  <c r="F146" i="6"/>
  <c r="F145" i="6"/>
  <c r="F144" i="6"/>
  <c r="F143" i="6"/>
  <c r="F142" i="6"/>
  <c r="F139" i="6"/>
  <c r="F138" i="6"/>
  <c r="F137" i="6"/>
  <c r="F136" i="6"/>
  <c r="F135" i="6"/>
  <c r="F134" i="6"/>
  <c r="F132" i="6"/>
  <c r="F130" i="6"/>
  <c r="F129" i="6"/>
  <c r="F128" i="6"/>
  <c r="F127" i="6"/>
  <c r="F126" i="6"/>
  <c r="F125" i="6"/>
  <c r="F124" i="6"/>
  <c r="F123" i="6"/>
  <c r="F121" i="6"/>
  <c r="F119" i="6"/>
  <c r="F118" i="6"/>
  <c r="F117" i="6"/>
  <c r="F116" i="6"/>
  <c r="F115" i="6"/>
  <c r="F114" i="6"/>
  <c r="F112" i="6"/>
  <c r="F111" i="6"/>
  <c r="F110" i="6"/>
  <c r="F109" i="6"/>
  <c r="F108" i="6"/>
  <c r="F107" i="6"/>
  <c r="F105" i="6"/>
  <c r="F104" i="6"/>
  <c r="F103" i="6"/>
  <c r="F102" i="6"/>
  <c r="F101" i="6"/>
  <c r="F100" i="6"/>
  <c r="F99" i="6"/>
  <c r="F98" i="6"/>
  <c r="F96" i="6"/>
  <c r="F94" i="6"/>
  <c r="F92" i="6"/>
  <c r="F90" i="6"/>
  <c r="F89" i="6"/>
  <c r="F87" i="6"/>
  <c r="F86" i="6"/>
  <c r="F84" i="6"/>
  <c r="F83" i="6"/>
  <c r="F82" i="6"/>
  <c r="F81" i="6"/>
  <c r="F80" i="6"/>
  <c r="F79" i="6"/>
  <c r="F78" i="6"/>
  <c r="F75" i="6"/>
  <c r="F74" i="6"/>
  <c r="F73" i="6"/>
  <c r="F71" i="6"/>
  <c r="F70" i="6"/>
  <c r="F67" i="6"/>
  <c r="F66" i="6"/>
  <c r="F64" i="6"/>
  <c r="F63" i="6"/>
  <c r="F62" i="6"/>
  <c r="F61" i="6"/>
  <c r="F59" i="6"/>
  <c r="F58" i="6"/>
  <c r="F57" i="6"/>
  <c r="F56" i="6"/>
  <c r="F55" i="6"/>
  <c r="F54" i="6"/>
  <c r="F51" i="6"/>
  <c r="F50" i="6"/>
  <c r="F49" i="6"/>
  <c r="F47" i="6"/>
  <c r="F45" i="6"/>
  <c r="F44" i="6"/>
  <c r="F43" i="6"/>
  <c r="F42" i="6"/>
  <c r="F41" i="6"/>
  <c r="F40" i="6"/>
  <c r="F38" i="6"/>
  <c r="F37" i="6"/>
  <c r="F35" i="6"/>
  <c r="F34" i="6"/>
  <c r="F33" i="6"/>
  <c r="F31" i="6"/>
  <c r="F30" i="6"/>
  <c r="F29" i="6"/>
  <c r="F28" i="6"/>
  <c r="F27" i="6"/>
  <c r="F26" i="6"/>
  <c r="F25" i="6"/>
  <c r="F24" i="6"/>
  <c r="F21" i="6"/>
  <c r="F20" i="6"/>
  <c r="F19" i="6"/>
  <c r="F18" i="6"/>
  <c r="F16" i="6"/>
  <c r="F15" i="6"/>
  <c r="F13" i="6"/>
  <c r="F12" i="6"/>
  <c r="F11" i="6"/>
  <c r="F10" i="6"/>
  <c r="H90" i="6"/>
  <c r="E183" i="6"/>
  <c r="E182" i="6"/>
  <c r="E181" i="6"/>
  <c r="E179" i="6"/>
  <c r="E178" i="6"/>
  <c r="E177" i="6"/>
  <c r="E176" i="6"/>
  <c r="E175" i="6"/>
  <c r="E174" i="6" s="1"/>
  <c r="E173" i="6"/>
  <c r="E172" i="6"/>
  <c r="E171" i="6"/>
  <c r="E170" i="6"/>
  <c r="E169" i="6"/>
  <c r="E167" i="6"/>
  <c r="E166" i="6"/>
  <c r="E165" i="6"/>
  <c r="E164" i="6"/>
  <c r="E162" i="6"/>
  <c r="E161" i="6"/>
  <c r="E160" i="6"/>
  <c r="E159" i="6"/>
  <c r="E158" i="6"/>
  <c r="E156" i="6"/>
  <c r="E155" i="6"/>
  <c r="E154" i="6"/>
  <c r="E151" i="6"/>
  <c r="E150" i="6"/>
  <c r="E149" i="6"/>
  <c r="E148" i="6"/>
  <c r="E147" i="6"/>
  <c r="E146" i="6"/>
  <c r="E145" i="6"/>
  <c r="E144" i="6"/>
  <c r="E143" i="6"/>
  <c r="E142" i="6"/>
  <c r="E139" i="6"/>
  <c r="E138" i="6"/>
  <c r="E137" i="6"/>
  <c r="E136" i="6"/>
  <c r="E135" i="6"/>
  <c r="E134" i="6"/>
  <c r="E132" i="6"/>
  <c r="E130" i="6"/>
  <c r="E129" i="6"/>
  <c r="E128" i="6"/>
  <c r="E127" i="6"/>
  <c r="E126" i="6"/>
  <c r="E125" i="6"/>
  <c r="E124" i="6"/>
  <c r="E123" i="6"/>
  <c r="E121" i="6"/>
  <c r="E119" i="6"/>
  <c r="E118" i="6"/>
  <c r="E117" i="6"/>
  <c r="E116" i="6"/>
  <c r="E115" i="6"/>
  <c r="E114" i="6"/>
  <c r="E112" i="6"/>
  <c r="E111" i="6"/>
  <c r="E110" i="6"/>
  <c r="E109" i="6"/>
  <c r="E108" i="6"/>
  <c r="E107" i="6"/>
  <c r="E105" i="6"/>
  <c r="E104" i="6"/>
  <c r="E103" i="6"/>
  <c r="E102" i="6"/>
  <c r="E101" i="6"/>
  <c r="E100" i="6"/>
  <c r="E99" i="6"/>
  <c r="E98" i="6"/>
  <c r="E96" i="6"/>
  <c r="E94" i="6"/>
  <c r="E92" i="6"/>
  <c r="E90" i="6"/>
  <c r="E89" i="6"/>
  <c r="E87" i="6"/>
  <c r="E86" i="6"/>
  <c r="E84" i="6"/>
  <c r="E83" i="6"/>
  <c r="E82" i="6"/>
  <c r="E81" i="6"/>
  <c r="E80" i="6"/>
  <c r="E79" i="6"/>
  <c r="E78" i="6"/>
  <c r="E75" i="6"/>
  <c r="E74" i="6"/>
  <c r="E73" i="6"/>
  <c r="E71" i="6"/>
  <c r="E70" i="6"/>
  <c r="E67" i="6"/>
  <c r="E66" i="6"/>
  <c r="E64" i="6"/>
  <c r="E62" i="6"/>
  <c r="E61" i="6"/>
  <c r="E59" i="6"/>
  <c r="E58" i="6"/>
  <c r="E57" i="6"/>
  <c r="E56" i="6"/>
  <c r="E55" i="6"/>
  <c r="E54" i="6"/>
  <c r="E51" i="6"/>
  <c r="E50" i="6"/>
  <c r="E49" i="6"/>
  <c r="E47" i="6"/>
  <c r="E45" i="6"/>
  <c r="E44" i="6"/>
  <c r="E43" i="6"/>
  <c r="E42" i="6"/>
  <c r="E41" i="6"/>
  <c r="E40" i="6"/>
  <c r="E38" i="6"/>
  <c r="E37" i="6"/>
  <c r="E35" i="6"/>
  <c r="E34" i="6"/>
  <c r="E33" i="6"/>
  <c r="E31" i="6"/>
  <c r="E30" i="6"/>
  <c r="E29" i="6"/>
  <c r="E28" i="6"/>
  <c r="E27" i="6"/>
  <c r="E26" i="6"/>
  <c r="E25" i="6"/>
  <c r="E24" i="6"/>
  <c r="E21" i="6"/>
  <c r="E20" i="6"/>
  <c r="E19" i="6"/>
  <c r="E18" i="6"/>
  <c r="E17" i="6"/>
  <c r="E16" i="6"/>
  <c r="E15" i="6"/>
  <c r="E13" i="6"/>
  <c r="E12" i="6"/>
  <c r="E11" i="6"/>
  <c r="E10" i="6"/>
  <c r="C26" i="12"/>
  <c r="C35" i="12"/>
  <c r="H27" i="6" l="1"/>
  <c r="H42" i="6"/>
  <c r="H58" i="6"/>
  <c r="H75" i="6"/>
  <c r="H108" i="6"/>
  <c r="H123" i="6"/>
  <c r="H137" i="6"/>
  <c r="H151" i="6"/>
  <c r="H167" i="6"/>
  <c r="H182" i="6"/>
  <c r="H13" i="6"/>
  <c r="H21" i="6"/>
  <c r="H37" i="6"/>
  <c r="H54" i="6"/>
  <c r="H70" i="6"/>
  <c r="H86" i="6"/>
  <c r="H103" i="6"/>
  <c r="H117" i="6"/>
  <c r="H132" i="6"/>
  <c r="H147" i="6"/>
  <c r="H162" i="6"/>
  <c r="H30" i="6"/>
  <c r="H45" i="6"/>
  <c r="H62" i="6"/>
  <c r="H80" i="6"/>
  <c r="H98" i="6"/>
  <c r="H29" i="6"/>
  <c r="H44" i="6"/>
  <c r="H61" i="6"/>
  <c r="H79" i="6"/>
  <c r="H96" i="6"/>
  <c r="H110" i="6"/>
  <c r="H125" i="6"/>
  <c r="H139" i="6"/>
  <c r="H155" i="6"/>
  <c r="H170" i="6"/>
  <c r="H25" i="6"/>
  <c r="H40" i="6"/>
  <c r="H56" i="6"/>
  <c r="H73" i="6"/>
  <c r="H89" i="6"/>
  <c r="H105" i="6"/>
  <c r="H119" i="6"/>
  <c r="H135" i="6"/>
  <c r="H149" i="6"/>
  <c r="H165" i="6"/>
  <c r="H179" i="6"/>
  <c r="H19" i="6"/>
  <c r="H34" i="6"/>
  <c r="H50" i="6"/>
  <c r="H66" i="6"/>
  <c r="H83" i="6"/>
  <c r="H101" i="6"/>
  <c r="H115" i="6"/>
  <c r="H129" i="6"/>
  <c r="H145" i="6"/>
  <c r="H160" i="6"/>
  <c r="H20" i="6"/>
  <c r="H35" i="6"/>
  <c r="H51" i="6"/>
  <c r="H67" i="6"/>
  <c r="H84" i="6"/>
  <c r="H102" i="6"/>
  <c r="H116" i="6"/>
  <c r="H130" i="6"/>
  <c r="H146" i="6"/>
  <c r="H161" i="6"/>
  <c r="H176" i="6"/>
  <c r="H177" i="6"/>
  <c r="H24" i="6"/>
  <c r="H38" i="6"/>
  <c r="H55" i="6"/>
  <c r="H71" i="6"/>
  <c r="H87" i="6"/>
  <c r="H104" i="6"/>
  <c r="H118" i="6"/>
  <c r="H134" i="6"/>
  <c r="H148" i="6"/>
  <c r="H164" i="6"/>
  <c r="H178" i="6"/>
  <c r="H26" i="6"/>
  <c r="H41" i="6"/>
  <c r="H57" i="6"/>
  <c r="H74" i="6"/>
  <c r="H107" i="6"/>
  <c r="H121" i="6"/>
  <c r="H136" i="6"/>
  <c r="H150" i="6"/>
  <c r="H166" i="6"/>
  <c r="H181" i="6"/>
  <c r="H28" i="6"/>
  <c r="H43" i="6"/>
  <c r="H59" i="6"/>
  <c r="H78" i="6"/>
  <c r="H94" i="6"/>
  <c r="H109" i="6"/>
  <c r="H124" i="6"/>
  <c r="H138" i="6"/>
  <c r="H154" i="6"/>
  <c r="H169" i="6"/>
  <c r="H183" i="6"/>
  <c r="H111" i="6"/>
  <c r="H126" i="6"/>
  <c r="H142" i="6"/>
  <c r="H156" i="6"/>
  <c r="H171" i="6"/>
  <c r="H31" i="6"/>
  <c r="H47" i="6"/>
  <c r="H63" i="6"/>
  <c r="H81" i="6"/>
  <c r="H99" i="6"/>
  <c r="H112" i="6"/>
  <c r="H127" i="6"/>
  <c r="H143" i="6"/>
  <c r="H158" i="6"/>
  <c r="H172" i="6"/>
  <c r="H33" i="6"/>
  <c r="H49" i="6"/>
  <c r="H64" i="6"/>
  <c r="H82" i="6"/>
  <c r="H100" i="6"/>
  <c r="H114" i="6"/>
  <c r="H128" i="6"/>
  <c r="H144" i="6"/>
  <c r="H159" i="6"/>
  <c r="H173" i="6"/>
  <c r="D11" i="6"/>
  <c r="H175" i="6"/>
  <c r="I163" i="6"/>
  <c r="J106" i="6"/>
  <c r="E157" i="6"/>
  <c r="E63" i="6" l="1"/>
  <c r="F17" i="6"/>
  <c r="V7" i="13" l="1"/>
  <c r="C3" i="12"/>
  <c r="G52" i="13"/>
  <c r="G22" i="13"/>
  <c r="F14" i="13"/>
  <c r="F52" i="13"/>
  <c r="M15" i="13"/>
  <c r="M52" i="13"/>
  <c r="C23" i="12"/>
  <c r="C15" i="12"/>
  <c r="W58" i="13" l="1"/>
  <c r="V58" i="13"/>
  <c r="V57" i="13"/>
  <c r="W57" i="13"/>
  <c r="V54" i="13"/>
  <c r="V18" i="13"/>
  <c r="V9" i="13"/>
  <c r="W20" i="13"/>
  <c r="S16" i="13"/>
  <c r="W15" i="13"/>
  <c r="U15" i="13"/>
  <c r="S11" i="13"/>
  <c r="S10" i="13"/>
  <c r="N51" i="13"/>
  <c r="N52" i="13"/>
  <c r="M51" i="13"/>
  <c r="M21" i="13"/>
  <c r="H52" i="13"/>
  <c r="E52" i="13"/>
  <c r="E37" i="13"/>
  <c r="F24" i="13"/>
  <c r="D24" i="13"/>
  <c r="H23" i="13"/>
  <c r="F23" i="13"/>
  <c r="D23" i="13"/>
  <c r="H22" i="13"/>
  <c r="F22" i="13"/>
  <c r="D22" i="13"/>
  <c r="H21" i="13"/>
  <c r="F21" i="13"/>
  <c r="D21" i="13"/>
  <c r="H20" i="13"/>
  <c r="G20" i="13"/>
  <c r="H19" i="13"/>
  <c r="G19" i="13"/>
  <c r="D19" i="13"/>
  <c r="G16" i="13"/>
  <c r="D16" i="13"/>
  <c r="G15" i="13"/>
  <c r="D15" i="13"/>
  <c r="D14" i="13"/>
  <c r="H13" i="13"/>
  <c r="D12" i="13"/>
  <c r="G11" i="13"/>
  <c r="D11" i="13"/>
  <c r="G10" i="13"/>
  <c r="D10" i="13"/>
  <c r="B50" i="5" l="1"/>
  <c r="B60" i="5" l="1"/>
  <c r="C76" i="5"/>
  <c r="C60" i="5" s="1"/>
  <c r="K174" i="6"/>
  <c r="K93" i="6"/>
  <c r="J174" i="6"/>
  <c r="J93" i="6"/>
  <c r="G174" i="6"/>
  <c r="G93" i="6"/>
  <c r="E93" i="6"/>
  <c r="C52" i="5"/>
  <c r="C30" i="5"/>
  <c r="C19" i="5"/>
  <c r="C9" i="5"/>
  <c r="C7" i="5"/>
  <c r="C5" i="5"/>
  <c r="C89" i="5"/>
  <c r="C93" i="5"/>
  <c r="C102" i="5"/>
  <c r="B107" i="5"/>
  <c r="B93" i="5"/>
  <c r="B92" i="5"/>
  <c r="B90" i="5"/>
  <c r="B52" i="5"/>
  <c r="B30" i="5"/>
  <c r="B19" i="5"/>
  <c r="B9" i="5"/>
  <c r="B7" i="5"/>
  <c r="B5" i="5"/>
  <c r="B89" i="5" l="1"/>
  <c r="B27" i="7" s="1"/>
  <c r="B102" i="5"/>
  <c r="B12" i="7" s="1"/>
  <c r="B4" i="5"/>
  <c r="B26" i="7" s="1"/>
  <c r="E69" i="6"/>
  <c r="E85" i="6"/>
  <c r="F65" i="6"/>
  <c r="E48" i="6"/>
  <c r="K88" i="6"/>
  <c r="G72" i="6"/>
  <c r="G60" i="6"/>
  <c r="F113" i="6"/>
  <c r="E32" i="6"/>
  <c r="G180" i="6"/>
  <c r="E72" i="6"/>
  <c r="J180" i="6"/>
  <c r="F53" i="6"/>
  <c r="D147" i="6"/>
  <c r="B18" i="5"/>
  <c r="B28" i="7"/>
  <c r="I113" i="6"/>
  <c r="F157" i="6"/>
  <c r="J48" i="6"/>
  <c r="J46" i="6" s="1"/>
  <c r="C12" i="7"/>
  <c r="C88" i="5"/>
  <c r="C8" i="7" s="1"/>
  <c r="C28" i="7"/>
  <c r="C27" i="7"/>
  <c r="K65" i="6"/>
  <c r="K113" i="6"/>
  <c r="K91" i="6"/>
  <c r="J91" i="6"/>
  <c r="D112" i="6"/>
  <c r="D55" i="6"/>
  <c r="D49" i="6"/>
  <c r="D42" i="6"/>
  <c r="D40" i="6"/>
  <c r="D25" i="6"/>
  <c r="D24" i="6"/>
  <c r="D21" i="6"/>
  <c r="D167" i="6"/>
  <c r="D155" i="6"/>
  <c r="D154" i="6"/>
  <c r="K180" i="6"/>
  <c r="D138" i="6"/>
  <c r="F9" i="6"/>
  <c r="K157" i="6"/>
  <c r="K168" i="6"/>
  <c r="K163" i="6"/>
  <c r="K153" i="6"/>
  <c r="K122" i="6"/>
  <c r="K120" i="6" s="1"/>
  <c r="K72" i="6"/>
  <c r="K69" i="6"/>
  <c r="K60" i="6"/>
  <c r="K48" i="6"/>
  <c r="K46" i="6" s="1"/>
  <c r="K39" i="6"/>
  <c r="K36" i="6" s="1"/>
  <c r="K32" i="6"/>
  <c r="K14" i="6"/>
  <c r="J168" i="6"/>
  <c r="J163" i="6"/>
  <c r="J153" i="6"/>
  <c r="J141" i="6"/>
  <c r="J122" i="6"/>
  <c r="J120" i="6" s="1"/>
  <c r="J113" i="6"/>
  <c r="J88" i="6"/>
  <c r="J72" i="6"/>
  <c r="J69" i="6"/>
  <c r="J65" i="6"/>
  <c r="J60" i="6"/>
  <c r="J39" i="6"/>
  <c r="J36" i="6" s="1"/>
  <c r="J32" i="6"/>
  <c r="H174" i="6"/>
  <c r="I174" i="6"/>
  <c r="I141" i="6"/>
  <c r="I140" i="6" s="1"/>
  <c r="I93" i="6"/>
  <c r="H93" i="6"/>
  <c r="I72" i="6"/>
  <c r="I32" i="6"/>
  <c r="J23" i="6"/>
  <c r="K97" i="6"/>
  <c r="J97" i="6"/>
  <c r="D161" i="6"/>
  <c r="D160" i="6"/>
  <c r="D159" i="6"/>
  <c r="D158" i="6"/>
  <c r="D156" i="6"/>
  <c r="D128" i="6"/>
  <c r="D127" i="6"/>
  <c r="D117" i="6"/>
  <c r="D99" i="6"/>
  <c r="D98" i="6"/>
  <c r="G91" i="6"/>
  <c r="G65" i="6"/>
  <c r="G48" i="6"/>
  <c r="G46" i="6" s="1"/>
  <c r="G39" i="6"/>
  <c r="G36" i="6" s="1"/>
  <c r="I106" i="6"/>
  <c r="K106" i="6"/>
  <c r="K9" i="6"/>
  <c r="K133" i="6"/>
  <c r="K131" i="6" s="1"/>
  <c r="K85" i="6"/>
  <c r="J85" i="6"/>
  <c r="I85" i="6"/>
  <c r="D183" i="6"/>
  <c r="G168" i="6"/>
  <c r="D169" i="6"/>
  <c r="G163" i="6"/>
  <c r="D149" i="6"/>
  <c r="G133" i="6"/>
  <c r="G131" i="6" s="1"/>
  <c r="G32" i="6"/>
  <c r="D27" i="6"/>
  <c r="G14" i="6"/>
  <c r="G9" i="6"/>
  <c r="F153" i="6"/>
  <c r="D145" i="6"/>
  <c r="D134" i="6"/>
  <c r="D124" i="6"/>
  <c r="D119" i="6"/>
  <c r="D118" i="6"/>
  <c r="E168" i="6"/>
  <c r="F48" i="6"/>
  <c r="F46" i="6" s="1"/>
  <c r="D13" i="6"/>
  <c r="I97" i="6"/>
  <c r="K77" i="6"/>
  <c r="K23" i="6"/>
  <c r="D162" i="6"/>
  <c r="I168" i="6"/>
  <c r="K141" i="6"/>
  <c r="K140" i="6" s="1"/>
  <c r="J133" i="6"/>
  <c r="J131" i="6" s="1"/>
  <c r="G157" i="6"/>
  <c r="G153" i="6"/>
  <c r="G122" i="6"/>
  <c r="G120" i="6" s="1"/>
  <c r="G106" i="6"/>
  <c r="D103" i="6"/>
  <c r="G88" i="6"/>
  <c r="D86" i="6"/>
  <c r="G85" i="6"/>
  <c r="G77" i="6"/>
  <c r="G69" i="6"/>
  <c r="G53" i="6"/>
  <c r="D29" i="6"/>
  <c r="D15" i="6"/>
  <c r="D176" i="6"/>
  <c r="F163" i="6"/>
  <c r="F141" i="6"/>
  <c r="D136" i="6"/>
  <c r="F133" i="6"/>
  <c r="F131" i="6" s="1"/>
  <c r="F122" i="6"/>
  <c r="F120" i="6" s="1"/>
  <c r="D123" i="6"/>
  <c r="D121" i="6"/>
  <c r="F88" i="6"/>
  <c r="F85" i="6"/>
  <c r="D87" i="6"/>
  <c r="F77" i="6"/>
  <c r="D74" i="6"/>
  <c r="F72" i="6"/>
  <c r="D70" i="6"/>
  <c r="F69" i="6"/>
  <c r="F60" i="6"/>
  <c r="D43" i="6"/>
  <c r="F39" i="6"/>
  <c r="F36" i="6" s="1"/>
  <c r="D33" i="6"/>
  <c r="F32" i="6"/>
  <c r="F14" i="6"/>
  <c r="D12" i="6"/>
  <c r="D172" i="6"/>
  <c r="D170" i="6"/>
  <c r="D165" i="6"/>
  <c r="F168" i="6"/>
  <c r="D178" i="6"/>
  <c r="D166" i="6"/>
  <c r="D164" i="6"/>
  <c r="E163" i="6"/>
  <c r="D100" i="6"/>
  <c r="D81" i="6"/>
  <c r="D75" i="6"/>
  <c r="D62" i="6"/>
  <c r="D51" i="6"/>
  <c r="D45" i="6"/>
  <c r="D44" i="6"/>
  <c r="D38" i="6"/>
  <c r="D35" i="6"/>
  <c r="D34" i="6"/>
  <c r="D31" i="6"/>
  <c r="D30" i="6"/>
  <c r="D28" i="6"/>
  <c r="D20" i="6"/>
  <c r="D19" i="6"/>
  <c r="D18" i="6"/>
  <c r="D16" i="6"/>
  <c r="F97" i="6"/>
  <c r="D137" i="6"/>
  <c r="D96" i="6"/>
  <c r="D83" i="6"/>
  <c r="D173" i="6"/>
  <c r="D150" i="6"/>
  <c r="D139" i="6"/>
  <c r="D130" i="6"/>
  <c r="D116" i="6"/>
  <c r="D109" i="6"/>
  <c r="D102" i="6"/>
  <c r="D82" i="6"/>
  <c r="D71" i="6"/>
  <c r="D63" i="6"/>
  <c r="D110" i="6"/>
  <c r="D80" i="6"/>
  <c r="D64" i="6"/>
  <c r="D58" i="6"/>
  <c r="G23" i="6"/>
  <c r="D179" i="6"/>
  <c r="D151" i="6"/>
  <c r="D146" i="6"/>
  <c r="D129" i="6"/>
  <c r="D111" i="6"/>
  <c r="D101" i="6"/>
  <c r="D90" i="6"/>
  <c r="D79" i="6"/>
  <c r="D67" i="6"/>
  <c r="D50" i="6"/>
  <c r="D177" i="6"/>
  <c r="D171" i="6"/>
  <c r="D148" i="6"/>
  <c r="D144" i="6"/>
  <c r="D126" i="6"/>
  <c r="D84" i="6"/>
  <c r="D73" i="6"/>
  <c r="D59" i="6"/>
  <c r="D181" i="6"/>
  <c r="F180" i="6"/>
  <c r="F174" i="6"/>
  <c r="D175" i="6"/>
  <c r="D174" i="6" s="1"/>
  <c r="G113" i="6"/>
  <c r="D114" i="6"/>
  <c r="F106" i="6"/>
  <c r="D107" i="6"/>
  <c r="D94" i="6"/>
  <c r="D93" i="6" s="1"/>
  <c r="F93" i="6"/>
  <c r="F91" i="6" s="1"/>
  <c r="D182" i="6"/>
  <c r="E180" i="6"/>
  <c r="E153" i="6"/>
  <c r="E141" i="6"/>
  <c r="E140" i="6" s="1"/>
  <c r="D143" i="6"/>
  <c r="D135" i="6"/>
  <c r="E133" i="6"/>
  <c r="E131" i="6" s="1"/>
  <c r="D132" i="6"/>
  <c r="E113" i="6"/>
  <c r="D115" i="6"/>
  <c r="D108" i="6"/>
  <c r="E106" i="6"/>
  <c r="D92" i="6"/>
  <c r="E91" i="6"/>
  <c r="E88" i="6"/>
  <c r="D89" i="6"/>
  <c r="E77" i="6"/>
  <c r="D78" i="6"/>
  <c r="E65" i="6"/>
  <c r="D66" i="6"/>
  <c r="D61" i="6"/>
  <c r="E60" i="6"/>
  <c r="D56" i="6"/>
  <c r="D47" i="6"/>
  <c r="E46" i="6"/>
  <c r="D41" i="6"/>
  <c r="E39" i="6"/>
  <c r="E36" i="6" s="1"/>
  <c r="D37" i="6"/>
  <c r="E23" i="6"/>
  <c r="E14" i="6"/>
  <c r="D17" i="6"/>
  <c r="D142" i="6"/>
  <c r="G141" i="6"/>
  <c r="G140" i="6" s="1"/>
  <c r="E97" i="6"/>
  <c r="D105" i="6"/>
  <c r="D104" i="6"/>
  <c r="G97" i="6"/>
  <c r="F23" i="6"/>
  <c r="D26" i="6"/>
  <c r="C18" i="5"/>
  <c r="C4" i="5"/>
  <c r="C26" i="7" s="1"/>
  <c r="B88" i="5" l="1"/>
  <c r="B8" i="7" s="1"/>
  <c r="B3" i="5"/>
  <c r="B4" i="7" s="1"/>
  <c r="E22" i="6"/>
  <c r="E68" i="6"/>
  <c r="W62" i="13"/>
  <c r="B36" i="7"/>
  <c r="G68" i="6"/>
  <c r="K68" i="6"/>
  <c r="J68" i="6"/>
  <c r="D54" i="6"/>
  <c r="F140" i="6"/>
  <c r="E76" i="6"/>
  <c r="J140" i="6"/>
  <c r="I133" i="6"/>
  <c r="H133" i="6"/>
  <c r="H65" i="6"/>
  <c r="I65" i="6"/>
  <c r="J157" i="6"/>
  <c r="J152" i="6" s="1"/>
  <c r="I157" i="6"/>
  <c r="G8" i="6"/>
  <c r="H180" i="6"/>
  <c r="I180" i="6"/>
  <c r="H163" i="6"/>
  <c r="H153" i="6"/>
  <c r="I153" i="6"/>
  <c r="D153" i="6"/>
  <c r="C36" i="7"/>
  <c r="G52" i="6"/>
  <c r="D48" i="6"/>
  <c r="D46" i="6" s="1"/>
  <c r="H72" i="6"/>
  <c r="D39" i="6"/>
  <c r="D36" i="6" s="1"/>
  <c r="D157" i="6"/>
  <c r="F8" i="6"/>
  <c r="E152" i="6"/>
  <c r="D88" i="6"/>
  <c r="H32" i="6"/>
  <c r="J22" i="6"/>
  <c r="F52" i="6"/>
  <c r="H168" i="6"/>
  <c r="K152" i="6"/>
  <c r="H113" i="6"/>
  <c r="H85" i="6"/>
  <c r="K22" i="6"/>
  <c r="K8" i="6"/>
  <c r="J95" i="6"/>
  <c r="H141" i="6"/>
  <c r="H140" i="6" s="1"/>
  <c r="H106" i="6"/>
  <c r="H97" i="6"/>
  <c r="K95" i="6"/>
  <c r="D85" i="6"/>
  <c r="G22" i="6"/>
  <c r="E95" i="6"/>
  <c r="F68" i="6"/>
  <c r="D32" i="6"/>
  <c r="K76" i="6"/>
  <c r="G152" i="6"/>
  <c r="G95" i="6"/>
  <c r="G76" i="6"/>
  <c r="D72" i="6"/>
  <c r="D69" i="6"/>
  <c r="D180" i="6"/>
  <c r="D168" i="6"/>
  <c r="D163" i="6"/>
  <c r="D141" i="6"/>
  <c r="D140" i="6" s="1"/>
  <c r="D133" i="6"/>
  <c r="D131" i="6" s="1"/>
  <c r="D106" i="6"/>
  <c r="F76" i="6"/>
  <c r="D77" i="6"/>
  <c r="D65" i="6"/>
  <c r="D60" i="6"/>
  <c r="F22" i="6"/>
  <c r="D23" i="6"/>
  <c r="D14" i="6"/>
  <c r="F152" i="6"/>
  <c r="D113" i="6"/>
  <c r="D91" i="6"/>
  <c r="F95" i="6"/>
  <c r="D97" i="6"/>
  <c r="C3" i="5"/>
  <c r="B108" i="5" l="1"/>
  <c r="V62" i="13"/>
  <c r="H157" i="6"/>
  <c r="D68" i="6"/>
  <c r="B21" i="7"/>
  <c r="B16" i="7"/>
  <c r="S62" i="13"/>
  <c r="I152" i="6"/>
  <c r="C108" i="5"/>
  <c r="C4" i="7"/>
  <c r="D152" i="6"/>
  <c r="D76" i="6"/>
  <c r="G6" i="6"/>
  <c r="B13" i="7" s="1"/>
  <c r="D22" i="6"/>
  <c r="D95" i="6"/>
  <c r="F6" i="6"/>
  <c r="B9" i="7" s="1"/>
  <c r="H152" i="6" l="1"/>
  <c r="R62" i="13"/>
  <c r="Q62" i="13"/>
  <c r="C16" i="7"/>
  <c r="C21" i="7"/>
  <c r="B33" i="7"/>
  <c r="B14" i="7"/>
  <c r="B10" i="7"/>
  <c r="B32" i="7"/>
  <c r="D25" i="13" l="1"/>
  <c r="N55" i="13" l="1"/>
  <c r="E54" i="13"/>
  <c r="Q51" i="13" l="1"/>
  <c r="K27" i="13" l="1"/>
  <c r="K26" i="13"/>
  <c r="K24" i="13"/>
  <c r="P27" i="13" l="1"/>
  <c r="P26" i="13"/>
  <c r="C26" i="13" l="1"/>
  <c r="J26" i="13" s="1"/>
  <c r="C27" i="13"/>
  <c r="J27" i="13" s="1"/>
  <c r="P56" i="13" l="1"/>
  <c r="O56" i="13" s="1"/>
  <c r="N56" i="13"/>
  <c r="C37" i="12" l="1"/>
  <c r="D37" i="12"/>
  <c r="K11" i="13" l="1"/>
  <c r="K12" i="13"/>
  <c r="K13" i="13"/>
  <c r="K14" i="13"/>
  <c r="K15" i="13"/>
  <c r="K16" i="13"/>
  <c r="K17" i="13"/>
  <c r="K10" i="13"/>
  <c r="C11" i="13"/>
  <c r="C12" i="13"/>
  <c r="C13" i="13"/>
  <c r="C14" i="13"/>
  <c r="C15" i="13"/>
  <c r="C16" i="13"/>
  <c r="C17" i="13"/>
  <c r="C10" i="13"/>
  <c r="J10" i="13" s="1"/>
  <c r="D9" i="13"/>
  <c r="K9" i="13" l="1"/>
  <c r="E29" i="13" l="1"/>
  <c r="P38" i="13" l="1"/>
  <c r="O38" i="13" s="1"/>
  <c r="P39" i="13"/>
  <c r="O39" i="13" s="1"/>
  <c r="P40" i="13"/>
  <c r="O40" i="13" s="1"/>
  <c r="P46" i="13" l="1"/>
  <c r="O46" i="13" s="1"/>
  <c r="P47" i="13"/>
  <c r="O47" i="13" s="1"/>
  <c r="P48" i="13"/>
  <c r="O48" i="13" s="1"/>
  <c r="Q23" i="13" l="1"/>
  <c r="L25" i="13" l="1"/>
  <c r="L18" i="13"/>
  <c r="L9" i="13"/>
  <c r="L7" i="13" s="1"/>
  <c r="C52" i="13" l="1"/>
  <c r="P55" i="13" l="1"/>
  <c r="Q56" i="13" l="1"/>
  <c r="P44" i="13" l="1"/>
  <c r="P34" i="13"/>
  <c r="P33" i="13"/>
  <c r="P49" i="13"/>
  <c r="P41" i="13"/>
  <c r="P31" i="13"/>
  <c r="O31" i="13" s="1"/>
  <c r="P32" i="13"/>
  <c r="P35" i="13"/>
  <c r="P36" i="13"/>
  <c r="P37" i="13"/>
  <c r="P42" i="13"/>
  <c r="P43" i="13"/>
  <c r="P45" i="13"/>
  <c r="P50" i="13"/>
  <c r="P30" i="13"/>
  <c r="O30" i="13" s="1"/>
  <c r="P29" i="13" l="1"/>
  <c r="O49" i="13" l="1"/>
  <c r="Q55" i="13" l="1"/>
  <c r="K19" i="13"/>
  <c r="P19" i="13" s="1"/>
  <c r="O36" i="13" l="1"/>
  <c r="O35" i="13"/>
  <c r="J52" i="13" l="1"/>
  <c r="T25" i="13" l="1"/>
  <c r="T18" i="13"/>
  <c r="T9" i="13"/>
  <c r="T54" i="13" l="1"/>
  <c r="T7" i="13"/>
  <c r="M18" i="13" l="1"/>
  <c r="V59" i="13" l="1"/>
  <c r="N58" i="13"/>
  <c r="W25" i="13"/>
  <c r="W18" i="13"/>
  <c r="W9" i="13"/>
  <c r="U25" i="13"/>
  <c r="U18" i="13"/>
  <c r="U9" i="13"/>
  <c r="S25" i="13"/>
  <c r="S18" i="13"/>
  <c r="S9" i="13"/>
  <c r="W54" i="13" l="1"/>
  <c r="W7" i="13"/>
  <c r="U7" i="13"/>
  <c r="U54" i="13"/>
  <c r="S7" i="13"/>
  <c r="O55" i="13"/>
  <c r="S54" i="13"/>
  <c r="S57" i="13" l="1"/>
  <c r="S59" i="13" s="1"/>
  <c r="W59" i="13"/>
  <c r="S60" i="13" l="1"/>
  <c r="J13" i="13" l="1"/>
  <c r="I18" i="13"/>
  <c r="I9" i="13"/>
  <c r="I54" i="13" l="1"/>
  <c r="I57" i="13" s="1"/>
  <c r="I53" i="13"/>
  <c r="I7" i="13"/>
  <c r="F9" i="13" l="1"/>
  <c r="E57" i="13"/>
  <c r="O50" i="13" l="1"/>
  <c r="O45" i="13"/>
  <c r="O43" i="13"/>
  <c r="O42" i="13"/>
  <c r="O41" i="13"/>
  <c r="O34" i="13"/>
  <c r="O33" i="13"/>
  <c r="O32" i="13"/>
  <c r="C28" i="13"/>
  <c r="J28" i="13" s="1"/>
  <c r="N28" i="13" s="1"/>
  <c r="N26" i="13"/>
  <c r="M25" i="13"/>
  <c r="G25" i="13"/>
  <c r="F25" i="13"/>
  <c r="E25" i="13"/>
  <c r="P24" i="13"/>
  <c r="O24" i="13" s="1"/>
  <c r="C24" i="13"/>
  <c r="K23" i="13"/>
  <c r="P23" i="13" s="1"/>
  <c r="O23" i="13" s="1"/>
  <c r="C23" i="13"/>
  <c r="K22" i="13"/>
  <c r="P22" i="13" s="1"/>
  <c r="C22" i="13"/>
  <c r="K21" i="13"/>
  <c r="P21" i="13" s="1"/>
  <c r="O21" i="13" s="1"/>
  <c r="C21" i="13"/>
  <c r="K20" i="13"/>
  <c r="P20" i="13" s="1"/>
  <c r="C20" i="13"/>
  <c r="C19" i="13"/>
  <c r="J19" i="13" s="1"/>
  <c r="N19" i="13" s="1"/>
  <c r="H18" i="13"/>
  <c r="G18" i="13"/>
  <c r="F18" i="13"/>
  <c r="E18" i="13"/>
  <c r="D18" i="13"/>
  <c r="D7" i="13" s="1"/>
  <c r="O17" i="13"/>
  <c r="J17" i="13"/>
  <c r="N17" i="13" s="1"/>
  <c r="P16" i="13"/>
  <c r="P15" i="13"/>
  <c r="P14" i="13"/>
  <c r="O14" i="13" s="1"/>
  <c r="N13" i="13"/>
  <c r="P13" i="13"/>
  <c r="P12" i="13"/>
  <c r="O12" i="13" s="1"/>
  <c r="P11" i="13"/>
  <c r="J11" i="13"/>
  <c r="P10" i="13"/>
  <c r="N10" i="13"/>
  <c r="M9" i="13"/>
  <c r="H9" i="13"/>
  <c r="G9" i="13"/>
  <c r="E9" i="13"/>
  <c r="J8" i="13"/>
  <c r="D54" i="13" l="1"/>
  <c r="D57" i="13" s="1"/>
  <c r="H54" i="13"/>
  <c r="H57" i="13" s="1"/>
  <c r="G51" i="13"/>
  <c r="P51" i="13" s="1"/>
  <c r="O51" i="13" s="1"/>
  <c r="G54" i="13"/>
  <c r="G57" i="13" s="1"/>
  <c r="F54" i="13"/>
  <c r="F57" i="13" s="1"/>
  <c r="M7" i="13"/>
  <c r="M54" i="13"/>
  <c r="M57" i="13" s="1"/>
  <c r="O37" i="13"/>
  <c r="O29" i="13" s="1"/>
  <c r="E7" i="13"/>
  <c r="O44" i="13"/>
  <c r="O13" i="13"/>
  <c r="O16" i="13"/>
  <c r="C25" i="13"/>
  <c r="J24" i="13"/>
  <c r="N24" i="13" s="1"/>
  <c r="J20" i="13"/>
  <c r="N20" i="13" s="1"/>
  <c r="N8" i="13"/>
  <c r="J23" i="13"/>
  <c r="N23" i="13" s="1"/>
  <c r="J22" i="13"/>
  <c r="J21" i="13"/>
  <c r="N21" i="13" s="1"/>
  <c r="O20" i="13"/>
  <c r="O19" i="13"/>
  <c r="O15" i="13"/>
  <c r="O11" i="13"/>
  <c r="J16" i="13"/>
  <c r="N16" i="13" s="1"/>
  <c r="J15" i="13"/>
  <c r="J14" i="13"/>
  <c r="J12" i="13"/>
  <c r="N12" i="13" s="1"/>
  <c r="F7" i="13"/>
  <c r="Q9" i="13"/>
  <c r="Q25" i="13"/>
  <c r="O27" i="13"/>
  <c r="O22" i="13"/>
  <c r="Q18" i="13"/>
  <c r="C9" i="13"/>
  <c r="P18" i="13"/>
  <c r="N27" i="13"/>
  <c r="N25" i="13" s="1"/>
  <c r="J25" i="13"/>
  <c r="P9" i="13"/>
  <c r="O10" i="13"/>
  <c r="O26" i="13"/>
  <c r="P25" i="13"/>
  <c r="G7" i="13"/>
  <c r="N11" i="13"/>
  <c r="K18" i="13"/>
  <c r="K25" i="13"/>
  <c r="H7" i="13"/>
  <c r="C18" i="13"/>
  <c r="H53" i="13"/>
  <c r="P53" i="13" s="1"/>
  <c r="C7" i="13" l="1"/>
  <c r="C54" i="13"/>
  <c r="C57" i="13" s="1"/>
  <c r="Q7" i="13"/>
  <c r="N18" i="13"/>
  <c r="P54" i="13"/>
  <c r="O9" i="13"/>
  <c r="K7" i="13"/>
  <c r="Q54" i="13"/>
  <c r="J18" i="13"/>
  <c r="O18" i="13"/>
  <c r="O25" i="13"/>
  <c r="K54" i="13"/>
  <c r="K57" i="13" s="1"/>
  <c r="J9" i="13"/>
  <c r="O53" i="13"/>
  <c r="P7" i="13"/>
  <c r="N9" i="13"/>
  <c r="J7" i="13" l="1"/>
  <c r="O7" i="13"/>
  <c r="N54" i="13"/>
  <c r="N57" i="13" s="1"/>
  <c r="N7" i="13"/>
  <c r="Q57" i="13"/>
  <c r="Q59" i="13" s="1"/>
  <c r="P57" i="13"/>
  <c r="P59" i="13" s="1"/>
  <c r="J54" i="13"/>
  <c r="J57" i="13" s="1"/>
  <c r="O54" i="13"/>
  <c r="O57" i="13" s="1"/>
  <c r="P60" i="13" l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R59" i="13" l="1"/>
  <c r="P61" i="13" s="1"/>
  <c r="O58" i="13"/>
  <c r="K53" i="6" l="1"/>
  <c r="K52" i="6" s="1"/>
  <c r="K6" i="6" s="1"/>
  <c r="C13" i="7" s="1"/>
  <c r="H131" i="6" l="1"/>
  <c r="I131" i="6"/>
  <c r="E122" i="6"/>
  <c r="E120" i="6" s="1"/>
  <c r="D125" i="6"/>
  <c r="D122" i="6" s="1"/>
  <c r="D120" i="6" s="1"/>
  <c r="I122" i="6"/>
  <c r="I120" i="6" s="1"/>
  <c r="H122" i="6"/>
  <c r="H120" i="6" s="1"/>
  <c r="H95" i="6"/>
  <c r="I95" i="6"/>
  <c r="I91" i="6"/>
  <c r="H88" i="6"/>
  <c r="I88" i="6"/>
  <c r="I77" i="6"/>
  <c r="J77" i="6"/>
  <c r="J76" i="6" s="1"/>
  <c r="H69" i="6"/>
  <c r="H68" i="6" s="1"/>
  <c r="I69" i="6"/>
  <c r="I68" i="6" s="1"/>
  <c r="I60" i="6"/>
  <c r="H60" i="6"/>
  <c r="D57" i="6"/>
  <c r="D53" i="6" s="1"/>
  <c r="D52" i="6" s="1"/>
  <c r="E53" i="6"/>
  <c r="E52" i="6" s="1"/>
  <c r="J53" i="6"/>
  <c r="J52" i="6" s="1"/>
  <c r="C33" i="7"/>
  <c r="C14" i="7"/>
  <c r="I53" i="6"/>
  <c r="I48" i="6"/>
  <c r="I46" i="6" s="1"/>
  <c r="H48" i="6"/>
  <c r="I39" i="6"/>
  <c r="I36" i="6" s="1"/>
  <c r="H39" i="6"/>
  <c r="H23" i="6"/>
  <c r="H22" i="6" s="1"/>
  <c r="I23" i="6"/>
  <c r="I22" i="6" s="1"/>
  <c r="H92" i="6" l="1"/>
  <c r="H91" i="6" s="1"/>
  <c r="H53" i="6"/>
  <c r="H52" i="6" s="1"/>
  <c r="I52" i="6"/>
  <c r="I76" i="6"/>
  <c r="H77" i="6"/>
  <c r="H76" i="6" s="1"/>
  <c r="H46" i="6"/>
  <c r="H36" i="6"/>
  <c r="E9" i="6" l="1"/>
  <c r="E8" i="6" s="1"/>
  <c r="D10" i="6"/>
  <c r="D9" i="6" s="1"/>
  <c r="D8" i="6" s="1"/>
  <c r="D6" i="6" l="1"/>
  <c r="E6" i="6"/>
  <c r="B5" i="7" s="1"/>
  <c r="P62" i="13" l="1"/>
  <c r="B17" i="7"/>
  <c r="B31" i="7"/>
  <c r="B37" i="7" s="1"/>
  <c r="B38" i="7" s="1"/>
  <c r="B22" i="7"/>
  <c r="B23" i="7" s="1"/>
  <c r="B6" i="7"/>
  <c r="B18" i="7" l="1"/>
  <c r="J17" i="6" l="1"/>
  <c r="I18" i="6"/>
  <c r="J18" i="6"/>
  <c r="I16" i="6"/>
  <c r="H16" i="6" s="1"/>
  <c r="I15" i="6"/>
  <c r="H15" i="6" s="1"/>
  <c r="I12" i="6"/>
  <c r="H12" i="6" s="1"/>
  <c r="I11" i="6"/>
  <c r="J11" i="6"/>
  <c r="J9" i="6" s="1"/>
  <c r="I10" i="6"/>
  <c r="H10" i="6" s="1"/>
  <c r="H18" i="6" l="1"/>
  <c r="H11" i="6"/>
  <c r="H9" i="6" s="1"/>
  <c r="J14" i="6"/>
  <c r="H17" i="6"/>
  <c r="H14" i="6" s="1"/>
  <c r="H8" i="6" s="1"/>
  <c r="J8" i="6"/>
  <c r="J6" i="6" s="1"/>
  <c r="C9" i="7" s="1"/>
  <c r="I14" i="6"/>
  <c r="I9" i="6"/>
  <c r="I8" i="6" s="1"/>
  <c r="H6" i="6" l="1"/>
  <c r="I6" i="6"/>
  <c r="C10" i="7"/>
  <c r="C32" i="7"/>
  <c r="C5" i="7" l="1"/>
  <c r="C22" i="7" l="1"/>
  <c r="C23" i="7" s="1"/>
  <c r="C17" i="7"/>
  <c r="C18" i="7" s="1"/>
  <c r="C6" i="7"/>
  <c r="C31" i="7"/>
  <c r="C37" i="7" s="1"/>
  <c r="C3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B6" authorId="0" shapeId="0" xr:uid="{4344B9C8-8D50-461B-A6A6-4C3EF820CC3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prognóza MFSR          8 744 121 EUR </t>
        </r>
      </text>
    </comment>
    <comment ref="B29" authorId="0" shapeId="0" xr:uid="{549A5F5F-1288-4231-9661-4B62150808C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10 000 EUR DK</t>
        </r>
      </text>
    </comment>
    <comment ref="B50" authorId="0" shapeId="0" xr:uid="{D20516E6-3EC4-443E-81F7-6449E36F8F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36 570 EUR rezerva</t>
        </r>
      </text>
    </comment>
    <comment ref="B51" authorId="0" shapeId="0" xr:uid="{C83702B2-8E85-4C8C-AEDB-72B4F358D8C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25 684 EUR rezerva</t>
        </r>
      </text>
    </comment>
    <comment ref="B62" authorId="0" shapeId="0" xr:uid="{2564061E-5DD7-486D-AD6E-D5FE251074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dar Terra Wag</t>
        </r>
      </text>
    </comment>
    <comment ref="B78" authorId="0" shapeId="0" xr:uid="{C8C607E1-D6BB-457F-8F87-EE5098CC179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55 697 EUR
Vzdelávacie poukazy 46 096 EUR
Stravné 774 240 EUR
Odchodné 23 786 EUR
Školské potreby 1 270 EUR 
Škola v prírode 27 200 EUR
Lyžiarsky výcvik 25 650 EUR
Učebnice 67 059 EUR
Sociálne znevýhodnení 2 025 EUR
Nepedagogický zamestnanec – pomoc. vychov. 104 412 EUR
Školský podporný tím 125 447 EUR
Pedagogický asistent 632 803 EUR
Špecifiká 0 EUR
Výchovno – vzdelávací proces 36 300 EUR
Rezerva na osobitné dotácie 278 015 EUR (v tom 
rezerva osobit. dot. - 252 255 EUR
rezerva strava - 25 760 EUR</t>
        </r>
      </text>
    </comment>
    <comment ref="B79" authorId="0" shapeId="0" xr:uid="{EFD4C36F-E6F5-40DE-B7C2-6CC62142EA4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27500 EUR rezerva -2500 EUR (na ZŠ Hronského)</t>
        </r>
      </text>
    </comment>
    <comment ref="B104" authorId="0" shapeId="0" xr:uid="{BA61756D-FB6E-4075-B3F8-A485C187AE1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48 920 EUR DD strava
1 603 EUR audioviz. Fond
9 064 EUR audioviz. Fond
9 750 EUR MFSR
47 000 EUR výruby
107 266 EUR PK
4 375 EUR cestovné
46 870 EUR jedálne školy
13 012 EUR Enviro MŠ 8. mája
9 895 EUR ZŠ Hollého
92 000 EUR KV ZŠ Murgaša
81 560 EUR stravné</t>
        </r>
      </text>
    </comment>
    <comment ref="B107" authorId="0" shapeId="0" xr:uid="{9D5370F9-4E22-4A88-8702-3DA585C4EFC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200 000 EUR úver na 5 rok použitý bude na spolufinancovanie výstavby Zariadenia podporného bývania
2 400 000 EUR úver na rekonštrukciu chodníkov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martincekova</author>
    <author>Nada Mondockova</author>
    <author>kovacikova</author>
  </authors>
  <commentList>
    <comment ref="T11" authorId="0" shapeId="0" xr:uid="{603FBA77-D41C-4990-AFAA-79B338FA370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15 252 eur
        15 500 EUR</t>
        </r>
      </text>
    </comment>
    <comment ref="T15" authorId="0" shapeId="0" xr:uid="{6148BDC0-A4FF-43BF-96DB-D88A3CF31A24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45 156 eur
       45 500 EUR</t>
        </r>
      </text>
    </comment>
    <comment ref="W15" authorId="0" shapeId="0" xr:uid="{33372F5A-C8FF-4772-88FB-744BF62F4311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2 690 eur zdroj 72f
13 012 eur zdroj 45</t>
        </r>
      </text>
    </comment>
    <comment ref="D19" authorId="0" shapeId="0" xr:uid="{BC7D8C58-002E-467B-A955-80663102F78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486 347
MŠ 218 161
+ 7 523 z roku 2025</t>
        </r>
      </text>
    </comment>
    <comment ref="E19" authorId="0" shapeId="0" xr:uid="{F6431B5F-158C-4D73-99EF-565F1088D3B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47 eur</t>
        </r>
      </text>
    </comment>
    <comment ref="T19" authorId="0" shapeId="0" xr:uid="{90C3E7AD-69AE-4738-96BA-F4A2D69E1516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11 124 eur
       11 500 EUR</t>
        </r>
      </text>
    </comment>
    <comment ref="D20" authorId="1" shapeId="0" xr:uid="{B68E0D8D-943B-4A5F-9E49-DED50C69E699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1 103 439 eur
+ 17 684 eur z roku 2025</t>
        </r>
      </text>
    </comment>
    <comment ref="E20" authorId="0" shapeId="0" xr:uid="{429B6C75-7369-4EBC-8230-B0308B53A308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642 eur</t>
        </r>
      </text>
    </comment>
    <comment ref="W20" authorId="0" shapeId="0" xr:uid="{3484D046-97D1-4A71-884F-4681AFC90D01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7 335 eur zdroj 72f
9 895 eur zdroj 45</t>
        </r>
      </text>
    </comment>
    <comment ref="D21" authorId="0" shapeId="0" xr:uid="{A626E3BB-F0B5-4F59-8568-185216C60B2A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1 694 166 eur
MŠ 157 887 eur
+25 680 eur z roku 2025</t>
        </r>
      </text>
    </comment>
    <comment ref="E21" authorId="0" shapeId="0" xr:uid="{262C2B8F-C839-443A-A177-C70580402F9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1 003 eur</t>
        </r>
      </text>
    </comment>
    <comment ref="D22" authorId="1" shapeId="0" xr:uid="{8862FA9B-0889-476C-A60E-2427D0D23CF4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1 634 307 eur 
+ 26 422 eur z roku 2025</t>
        </r>
      </text>
    </comment>
    <comment ref="E22" authorId="0" shapeId="0" xr:uid="{C630C0C3-850C-431F-92C9-35E2110450C7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1 466 eur</t>
        </r>
      </text>
    </comment>
    <comment ref="T22" authorId="0" shapeId="0" xr:uid="{88B56BC9-E8D8-4E10-9DA6-1CCD7D271C60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60 000 eur</t>
        </r>
      </text>
    </comment>
    <comment ref="D23" authorId="1" shapeId="0" xr:uid="{ED4A6B53-EECA-45A4-9D72-67DC5D8D7487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1 262 048 eur 
+ 19 742 eur z roku 2025</t>
        </r>
      </text>
    </comment>
    <comment ref="E23" authorId="0" shapeId="0" xr:uid="{5E40A1FE-E78C-4E88-8C9C-F160E3D04E27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648 eur</t>
        </r>
      </text>
    </comment>
    <comment ref="D24" authorId="0" shapeId="0" xr:uid="{4433C79A-DC4D-4E52-A9AC-728FD9C6842E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679 885 eur
MŠ 89 292 eur
+ 10 215 eur z roku 2025</t>
        </r>
      </text>
    </comment>
    <comment ref="E24" authorId="0" shapeId="0" xr:uid="{84C3090D-5A63-4E9D-924C-EAF9C017F508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569 eur</t>
        </r>
      </text>
    </comment>
    <comment ref="E30" authorId="0" shapeId="0" xr:uid="{679F8EAD-3EE7-4755-87D7-088BF2689D4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+ 4 375 eur z roku 2025, zdroj 131P</t>
        </r>
      </text>
    </comment>
    <comment ref="G52" authorId="2" shapeId="0" xr:uid="{B805FEA8-7ACE-4CAC-B0EF-B6A52F65E723}">
      <text>
        <r>
          <rPr>
            <b/>
            <sz val="9"/>
            <color indexed="81"/>
            <rFont val="Segoe UI"/>
            <family val="2"/>
            <charset val="238"/>
          </rPr>
          <t>kovacikova:</t>
        </r>
        <r>
          <rPr>
            <sz val="9"/>
            <color indexed="81"/>
            <rFont val="Segoe UI"/>
            <family val="2"/>
            <charset val="238"/>
          </rPr>
          <t xml:space="preserve">
rezerva u nás v príjmoch 
200: 36 570 EUR
300: 27 500 EUR - 2500 EUR</t>
        </r>
      </text>
    </comment>
  </commentList>
</comments>
</file>

<file path=xl/sharedStrings.xml><?xml version="1.0" encoding="utf-8"?>
<sst xmlns="http://schemas.openxmlformats.org/spreadsheetml/2006/main" count="987" uniqueCount="672">
  <si>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</si>
  <si>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</si>
  <si>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</si>
  <si>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</si>
  <si>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</si>
  <si>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</si>
  <si>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</si>
  <si>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</si>
  <si>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</si>
  <si>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</si>
  <si>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</si>
  <si>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</si>
  <si>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</si>
  <si>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</si>
  <si>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</si>
  <si>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</si>
  <si>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</si>
  <si>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</si>
  <si>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</si>
  <si>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</si>
  <si>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</si>
  <si>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</si>
  <si>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</si>
  <si>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</si>
  <si>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</si>
  <si>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</si>
  <si>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</si>
  <si>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</si>
  <si>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</si>
  <si>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</si>
  <si>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</si>
  <si>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</si>
  <si>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</si>
  <si>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</si>
  <si>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</si>
  <si>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</si>
  <si>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</si>
  <si>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</si>
  <si>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</si>
  <si>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</si>
  <si>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</si>
  <si>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</si>
  <si>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</si>
  <si>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</si>
  <si>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</si>
  <si>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</si>
  <si>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</si>
  <si>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</si>
  <si>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</si>
  <si>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</si>
  <si>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</si>
  <si>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</si>
  <si>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</si>
  <si>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</si>
  <si>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</si>
  <si>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</si>
  <si>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</si>
  <si>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</si>
  <si>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</si>
  <si>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</si>
  <si>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</si>
  <si>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</si>
  <si>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</si>
  <si>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</si>
  <si>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</si>
  <si>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</si>
  <si>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</si>
  <si>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</si>
  <si>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</si>
  <si>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</si>
  <si>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</si>
  <si>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</si>
  <si>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</si>
  <si>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</si>
  <si>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</si>
  <si>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</si>
  <si>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</si>
  <si>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</si>
  <si>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</si>
  <si>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</si>
  <si>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</si>
  <si>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</si>
  <si>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</si>
  <si>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</si>
  <si>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</si>
  <si>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</si>
  <si>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</si>
  <si>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</si>
  <si>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</si>
  <si>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</si>
  <si>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</si>
  <si>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</si>
  <si>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</si>
  <si>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</si>
  <si>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</si>
  <si>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</si>
  <si>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</si>
  <si>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</si>
  <si>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</si>
  <si>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</si>
  <si>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</si>
  <si>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</si>
  <si>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</si>
  <si>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</si>
  <si>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</si>
  <si>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</si>
  <si>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</si>
  <si>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</si>
  <si>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</si>
  <si>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</si>
  <si>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</si>
  <si>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</si>
  <si>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</si>
  <si>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</si>
  <si>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</si>
  <si>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</si>
  <si>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</si>
  <si>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</si>
  <si>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</si>
  <si>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</si>
  <si>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</si>
  <si>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</si>
  <si>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</si>
  <si>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</si>
  <si>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</si>
  <si>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</si>
  <si>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</si>
  <si>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</si>
  <si>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</si>
  <si>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</si>
  <si>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</si>
  <si>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</si>
  <si>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</si>
  <si>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</si>
  <si>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</si>
  <si>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</si>
  <si>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</si>
  <si>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</si>
  <si>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</si>
  <si>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</si>
  <si>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</si>
  <si>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</si>
  <si>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</si>
  <si>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</si>
  <si>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</si>
  <si>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</si>
  <si>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</si>
  <si>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</si>
  <si>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</si>
  <si>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</si>
  <si>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</si>
  <si>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</si>
  <si>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</si>
  <si>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</si>
  <si>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</si>
  <si>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</si>
  <si>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</si>
  <si>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</si>
  <si>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</si>
  <si>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</si>
  <si>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</si>
  <si>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</si>
  <si>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</si>
  <si>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</si>
  <si>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</si>
  <si>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</si>
  <si>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</si>
  <si>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</si>
  <si>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</si>
  <si>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</si>
  <si>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</si>
  <si>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</si>
  <si>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</si>
  <si>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</si>
  <si>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</si>
  <si>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</si>
  <si>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</si>
  <si>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</si>
  <si>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</si>
  <si>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</si>
  <si>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</si>
  <si>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</si>
  <si>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</si>
  <si>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</si>
  <si>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</si>
  <si>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</si>
  <si>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</si>
  <si>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</si>
  <si>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</si>
  <si>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</si>
  <si>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</si>
  <si>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</si>
  <si>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</si>
  <si>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</si>
  <si>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</si>
  <si>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</si>
  <si>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</si>
  <si>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</si>
  <si>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</si>
  <si>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</si>
  <si>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</si>
  <si>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</si>
  <si>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</si>
  <si>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</si>
  <si>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</si>
  <si>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</si>
  <si>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</si>
  <si>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</si>
  <si>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</si>
  <si>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</si>
  <si>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</si>
  <si>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</si>
  <si>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</si>
  <si>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</si>
  <si>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</si>
  <si>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</si>
  <si>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</si>
  <si>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</si>
  <si>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</si>
  <si>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</si>
  <si>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</si>
  <si>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</si>
  <si>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</si>
  <si>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</si>
  <si>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</si>
  <si>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</si>
  <si>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</si>
  <si>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</si>
  <si>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</si>
  <si>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</si>
  <si>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</si>
  <si>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</si>
  <si>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</si>
  <si>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</si>
  <si>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</si>
  <si>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</si>
  <si>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</si>
  <si>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</si>
  <si>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</si>
  <si>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</si>
  <si>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</si>
  <si>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</si>
  <si>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</si>
  <si>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</si>
  <si>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</si>
  <si>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</si>
  <si>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</si>
  <si>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</si>
  <si>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</si>
  <si>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</si>
  <si>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</si>
  <si>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</si>
  <si>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</si>
  <si>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</si>
  <si>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</si>
  <si>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</si>
  <si>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</si>
  <si>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</si>
  <si>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</si>
  <si>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</si>
  <si>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</si>
  <si>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</si>
  <si>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</si>
  <si>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</si>
  <si>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</si>
  <si>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</si>
  <si>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</si>
  <si>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</si>
  <si>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</si>
  <si>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</si>
  <si>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</si>
  <si>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</si>
  <si>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</si>
  <si>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</si>
  <si>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</si>
  <si>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</si>
  <si>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</si>
  <si>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</si>
  <si>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</si>
  <si>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</si>
  <si>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</si>
  <si>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</si>
  <si>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</si>
  <si>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</si>
  <si>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</si>
  <si>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</si>
  <si>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</si>
  <si>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</si>
  <si>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</si>
  <si>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</si>
  <si>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</si>
  <si>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</si>
  <si>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</si>
  <si>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</si>
  <si>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</si>
  <si>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</si>
  <si>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</si>
  <si>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</si>
  <si>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</si>
  <si>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</si>
  <si>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</si>
  <si>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</si>
  <si>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</si>
  <si>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</si>
  <si>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</si>
  <si>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</si>
  <si>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</si>
  <si>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</si>
  <si>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</si>
  <si>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</si>
  <si>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</si>
  <si>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</si>
  <si>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</si>
  <si>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</si>
  <si>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</si>
  <si>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</si>
  <si>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</si>
  <si>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</si>
  <si>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</si>
  <si>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</si>
  <si>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</si>
  <si>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</si>
  <si>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</si>
  <si>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</si>
  <si>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</si>
  <si>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</si>
  <si>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</si>
  <si>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</si>
  <si>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</si>
  <si>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</si>
  <si>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</si>
  <si>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</si>
  <si>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</si>
  <si>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</si>
  <si>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</si>
  <si>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</si>
  <si>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</si>
  <si>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</si>
  <si>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</si>
  <si>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</si>
  <si>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</si>
  <si>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</si>
  <si>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</si>
  <si>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</si>
  <si>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</si>
  <si>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</si>
  <si>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</si>
  <si>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</si>
  <si>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</si>
  <si>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</si>
  <si>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</si>
  <si>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</si>
  <si>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</si>
  <si>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</si>
  <si>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</si>
  <si>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</si>
  <si>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</si>
  <si>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</si>
  <si>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</si>
  <si>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</si>
  <si>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</si>
  <si>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</si>
  <si>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</si>
  <si>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</si>
  <si>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</si>
  <si>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</si>
  <si>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</si>
  <si>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</si>
  <si>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</si>
  <si>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</si>
  <si>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</si>
  <si>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</si>
  <si>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</si>
  <si>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</si>
  <si>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</si>
  <si>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</si>
  <si>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</si>
  <si>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</si>
  <si>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</si>
  <si>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</si>
  <si>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</si>
  <si>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</si>
  <si>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</si>
  <si>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</si>
  <si>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</si>
  <si>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</si>
  <si>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</si>
  <si>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</si>
  <si>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</si>
  <si>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</si>
  <si>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</si>
  <si>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</si>
  <si>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</si>
  <si>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</si>
  <si>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</si>
  <si>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</si>
  <si>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</si>
  <si>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</si>
  <si>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</si>
  <si>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</si>
  <si>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</si>
  <si>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</si>
  <si>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</si>
  <si>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</si>
  <si>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</si>
  <si>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</si>
  <si>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</si>
  <si>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</si>
  <si>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</si>
  <si>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</si>
  <si>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</si>
  <si>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</si>
  <si>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</si>
  <si>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</si>
  <si>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</si>
  <si>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</si>
  <si>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</si>
  <si>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</si>
  <si>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</si>
  <si>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</si>
  <si>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</si>
  <si>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</si>
  <si>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</si>
  <si>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</si>
  <si>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</si>
  <si>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</si>
  <si>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</si>
  <si>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</si>
  <si>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</si>
  <si>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</si>
  <si>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</si>
  <si>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</si>
  <si>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</si>
  <si>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</si>
  <si>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</si>
  <si>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</si>
  <si>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</si>
  <si>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</si>
  <si>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</si>
  <si>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</si>
  <si>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</si>
  <si>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</si>
  <si>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</si>
  <si>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</si>
  <si>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</si>
  <si>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</si>
  <si>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</si>
  <si>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</si>
  <si>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</si>
  <si>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</si>
  <si>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</si>
  <si>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</si>
  <si>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</si>
  <si>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</si>
  <si>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</si>
  <si>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Tenis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</si>
  <si>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</si>
  <si>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</si>
  <si>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</si>
  <si>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</si>
  <si>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</si>
  <si>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</si>
  <si>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</si>
  <si>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</si>
  <si>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</si>
  <si>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</si>
  <si>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</si>
  <si>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</si>
  <si>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</si>
  <si>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</si>
  <si>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</si>
  <si>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</si>
  <si>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</si>
  <si>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</si>
  <si>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</si>
  <si>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</si>
  <si>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</si>
  <si>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</si>
  <si>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</si>
  <si>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</si>
  <si>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</si>
  <si>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</si>
  <si>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</si>
  <si>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</si>
  <si>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</si>
  <si>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</si>
  <si>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</si>
  <si>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</si>
  <si>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</si>
  <si>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</si>
  <si>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</si>
  <si>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</si>
  <si>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</si>
  <si>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</si>
  <si>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</si>
  <si>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</si>
  <si>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</si>
  <si>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</si>
  <si>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</si>
  <si>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</si>
  <si>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</si>
  <si>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</si>
  <si>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</si>
  <si>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</si>
  <si>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</si>
  <si>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</si>
  <si>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</si>
  <si>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</si>
  <si>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</si>
  <si>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</si>
  <si>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</si>
  <si>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</si>
  <si>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</si>
  <si>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</si>
  <si>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</si>
  <si>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</si>
  <si>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</si>
  <si>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na dopravu žiakov</t>
  </si>
  <si>
    <t>pre MŠ za predškolákov</t>
  </si>
  <si>
    <t>za vzdelávacie poukazy</t>
  </si>
  <si>
    <t>odchodné</t>
  </si>
  <si>
    <t>na školské potreby</t>
  </si>
  <si>
    <t>Škola v prírode</t>
  </si>
  <si>
    <t>sociálne znevýhodnený</t>
  </si>
  <si>
    <t>9.6.</t>
  </si>
  <si>
    <t>9.7.</t>
  </si>
  <si>
    <t>9.8.</t>
  </si>
  <si>
    <t>ŠJ - potraviny</t>
  </si>
  <si>
    <t>311 dary, sponzorstvo</t>
  </si>
  <si>
    <t>321 dotácia cyklotrasa</t>
  </si>
  <si>
    <t>DD - kapitálové výdavky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</si>
  <si>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</si>
  <si>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</si>
  <si>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</si>
  <si>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</si>
  <si>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</si>
  <si>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231 príjem z predaja bytov a priestorov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</si>
  <si>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</si>
  <si>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</si>
  <si>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</si>
  <si>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</si>
  <si>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</si>
  <si>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</si>
  <si>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</si>
  <si>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</si>
  <si>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</si>
  <si>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</si>
  <si>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</si>
  <si>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Tabuľka č. 5  Rozpočet príjmov a výdavkov rozpočtových organizácií a spolu mesta Šaľa</t>
  </si>
  <si>
    <t>Rozpočet  výdavkov rozpočtu v RO</t>
  </si>
  <si>
    <t>Rozpočet príjmov rozpočtu RO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</si>
  <si>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</si>
  <si>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</si>
  <si>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</si>
  <si>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</si>
  <si>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</si>
  <si>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</si>
  <si>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</si>
  <si>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</si>
  <si>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</si>
  <si>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</si>
  <si>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</si>
  <si>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</si>
  <si>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</si>
  <si>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</si>
  <si>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</si>
  <si>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príjmy MsKS - Zlatá Priadka</t>
  </si>
  <si>
    <t>312 Dotácia Enviromentány fond</t>
  </si>
  <si>
    <t>312 NSK - šport, kultúra, propagácia, cestovný ruch</t>
  </si>
  <si>
    <t>učebnice</t>
  </si>
  <si>
    <t>vlastné príjmy 200</t>
  </si>
  <si>
    <t>vlastné príjmy 300</t>
  </si>
  <si>
    <t>312 dotácia MsKJJ</t>
  </si>
  <si>
    <t>240, 290 ostatné príjmy</t>
  </si>
  <si>
    <t>Rekonštrukcia budovy DK Šaľa</t>
  </si>
  <si>
    <t>223 príjem jedáleň DD - potraviny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</si>
  <si>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</si>
  <si>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</si>
  <si>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</si>
  <si>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</si>
  <si>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292 refundácie, kolky, ostatné príjmy, Nemčeková, vec. bremeno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</si>
  <si>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</si>
  <si>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</si>
  <si>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</si>
  <si>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</si>
  <si>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Rozpočet školstvo spolu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</si>
  <si>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</si>
  <si>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</si>
  <si>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</si>
  <si>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</si>
  <si>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</si>
  <si>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</si>
  <si>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</si>
  <si>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</si>
  <si>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13.</t>
  </si>
  <si>
    <t>Podprog 13.10.</t>
  </si>
  <si>
    <t>Podprog 13.9</t>
  </si>
  <si>
    <t>Pomoc Ukrajine</t>
  </si>
  <si>
    <t>312 dotácia Ukrajina</t>
  </si>
  <si>
    <t>rozvojové projekty</t>
  </si>
  <si>
    <t>Nízkoprahové denné centrum</t>
  </si>
  <si>
    <t>311 grant SMART</t>
  </si>
  <si>
    <t>KV školstvo</t>
  </si>
  <si>
    <t>špecifiká - UA</t>
  </si>
  <si>
    <t>11.</t>
  </si>
  <si>
    <t>321 dotácia ihriská</t>
  </si>
  <si>
    <t>Deň Ukrajiny</t>
  </si>
  <si>
    <t>292 parkovné</t>
  </si>
  <si>
    <t>Bežné výdavky - projekty</t>
  </si>
  <si>
    <t>15.</t>
  </si>
  <si>
    <t>12.</t>
  </si>
  <si>
    <t>Cintorín - kolumbárium</t>
  </si>
  <si>
    <t>Pedagogický asistent</t>
  </si>
  <si>
    <t>Školský podporný tím</t>
  </si>
  <si>
    <t>Nepedagog. zamest. pomocný vychovávateľ</t>
  </si>
  <si>
    <t>POO - profes. roz. pedag.</t>
  </si>
  <si>
    <t>mimoriadne výsledky</t>
  </si>
  <si>
    <t>DK - premietacie zariadenie</t>
  </si>
  <si>
    <t>Amfiteáter - rekonštrukcia sedenia</t>
  </si>
  <si>
    <t>9.</t>
  </si>
  <si>
    <t>výchovno vzdelávací proces</t>
  </si>
  <si>
    <t xml:space="preserve">456 zábezpeka </t>
  </si>
  <si>
    <t>133004 daň za predajné automaty</t>
  </si>
  <si>
    <t>ZŠ J.C. Hronského - rek. šport. areálu</t>
  </si>
  <si>
    <t>SMART</t>
  </si>
  <si>
    <t>špecifiká - tarifné platy</t>
  </si>
  <si>
    <t>rozpočet 2026</t>
  </si>
  <si>
    <t>plnenie 2026</t>
  </si>
  <si>
    <t>skutočnosť 2026</t>
  </si>
  <si>
    <t>plnenie rozpočtu 2026</t>
  </si>
  <si>
    <t>investície 2026</t>
  </si>
  <si>
    <t>čerpanie 2026</t>
  </si>
  <si>
    <t>Tabuľka č. 4 Investície 2026</t>
  </si>
  <si>
    <t>312 Švajčiarsky finančný mechanizmus Šaľa - Zdravé mesto</t>
  </si>
  <si>
    <t>321 dotácia Zariadenie podporovaného bývania Jazerná ul.</t>
  </si>
  <si>
    <t>321 Fond na podporu cestovného ruchu - rekonštrukcia kaplnky</t>
  </si>
  <si>
    <t>321 Švajčiarsky finančný mechanizmus Šaľa - Zdravé mesto</t>
  </si>
  <si>
    <t>321 dotácia na školstvo - rekonštrukcie a opravy</t>
  </si>
  <si>
    <t>Zariadenie podporovaného bývania</t>
  </si>
  <si>
    <t>Nákup drägera</t>
  </si>
  <si>
    <t>Cyklotrasa Šaľa - Diakovce</t>
  </si>
  <si>
    <t>Rekonštrukcia MK pri stanici</t>
  </si>
  <si>
    <t>7.</t>
  </si>
  <si>
    <t>ZŠ Horná - rek. soc. zariadení 4 a 5 etapa</t>
  </si>
  <si>
    <t>KV školstvo rekonštrukcia - rýchle energetické opatrenia</t>
  </si>
  <si>
    <t>10.</t>
  </si>
  <si>
    <t>rekonštrukcia plavárne</t>
  </si>
  <si>
    <t>rekonštrukcia kaplnky Feketeházy</t>
  </si>
  <si>
    <t>Šaľa - Zdravé mesto (švajčiarsky fin. mechanizmus)</t>
  </si>
  <si>
    <t>2026</t>
  </si>
  <si>
    <t>Rozpočet 2026</t>
  </si>
  <si>
    <t>špecifiká - vakcíny</t>
  </si>
  <si>
    <t>jazykový kurz</t>
  </si>
  <si>
    <t>Lyžiarsky výcvik</t>
  </si>
  <si>
    <t>Tabuľka č. 1 Plnenie  príjmov rozpočtu v roku 2026</t>
  </si>
  <si>
    <t xml:space="preserve">  Tabuľka č. 2 Čerpanie výdavkov rozpočtu v roku 2026</t>
  </si>
  <si>
    <t>Tabuľka č. 3 Sumár príjmov a výdavkov rozpočtu v roku 2026</t>
  </si>
  <si>
    <t>MŠ Okružná - rýchle energetické opatrenia</t>
  </si>
  <si>
    <t>MŠ 8. mája - altánok</t>
  </si>
  <si>
    <t>MŠ Šafárika - rýchle energetické opatrenia</t>
  </si>
  <si>
    <t>ZŠ Hollého - rýchle energetické opatrenia</t>
  </si>
  <si>
    <t>ZŠ Horná - rýchle energetické opatrenia</t>
  </si>
  <si>
    <t>312 dotácia SPAK - EKO</t>
  </si>
  <si>
    <t>MŠ Družstevná - rýchle energetické opratenia</t>
  </si>
  <si>
    <t>ZUŠ</t>
  </si>
  <si>
    <t>Vnútromestská cyklotrasa</t>
  </si>
  <si>
    <t>FŠ Veča - kosačka</t>
  </si>
  <si>
    <t>6.</t>
  </si>
  <si>
    <t>Polopodzemné kontajnery</t>
  </si>
  <si>
    <t>3.</t>
  </si>
  <si>
    <t>Výkup pozemkov</t>
  </si>
  <si>
    <t>DD - kotol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</si>
</sst>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7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838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2" fillId="0" borderId="3" xfId="1" applyNumberFormat="1" applyFont="1" applyBorder="1"/>
    <xf numFmtId="3" fontId="52" fillId="0" borderId="10" xfId="1" applyNumberFormat="1" applyFont="1" applyBorder="1"/>
    <xf numFmtId="3" fontId="51" fillId="0" borderId="56" xfId="1" applyNumberFormat="1" applyFont="1" applyBorder="1"/>
    <xf numFmtId="3" fontId="51" fillId="0" borderId="64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51" fillId="0" borderId="70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3" fontId="51" fillId="0" borderId="67" xfId="1" applyNumberFormat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3" fontId="52" fillId="0" borderId="117" xfId="1" applyNumberFormat="1" applyFont="1" applyBorder="1"/>
    <xf numFmtId="0" fontId="45" fillId="0" borderId="118" xfId="1" applyFont="1" applyBorder="1"/>
    <xf numFmtId="0" fontId="45" fillId="0" borderId="119" xfId="1" applyFont="1" applyBorder="1"/>
    <xf numFmtId="3" fontId="52" fillId="0" borderId="93" xfId="1" applyNumberFormat="1" applyFont="1" applyBorder="1"/>
    <xf numFmtId="0" fontId="45" fillId="0" borderId="8" xfId="1" applyFont="1" applyBorder="1"/>
    <xf numFmtId="3" fontId="52" fillId="0" borderId="8" xfId="1" applyNumberFormat="1" applyFont="1" applyBorder="1"/>
    <xf numFmtId="0" fontId="45" fillId="0" borderId="120" xfId="1" applyFont="1" applyBorder="1"/>
    <xf numFmtId="3" fontId="52" fillId="0" borderId="96" xfId="1" applyNumberFormat="1" applyFont="1" applyBorder="1"/>
    <xf numFmtId="0" fontId="2" fillId="0" borderId="7" xfId="1" applyFont="1" applyBorder="1"/>
    <xf numFmtId="3" fontId="37" fillId="0" borderId="7" xfId="1" applyNumberFormat="1" applyFont="1" applyBorder="1"/>
    <xf numFmtId="0" fontId="6" fillId="0" borderId="120" xfId="1" applyFont="1" applyBorder="1"/>
    <xf numFmtId="3" fontId="20" fillId="0" borderId="96" xfId="1" applyNumberFormat="1" applyFont="1" applyBorder="1" applyAlignment="1">
      <alignment horizontal="center" wrapText="1"/>
    </xf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3" fontId="37" fillId="0" borderId="115" xfId="1" applyNumberFormat="1" applyFont="1" applyBorder="1"/>
    <xf numFmtId="3" fontId="37" fillId="0" borderId="125" xfId="1" applyNumberFormat="1" applyFont="1" applyBorder="1"/>
    <xf numFmtId="3" fontId="37" fillId="0" borderId="126" xfId="1" applyNumberFormat="1" applyFont="1" applyBorder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6" xfId="1" applyNumberFormat="1" applyFont="1" applyBorder="1"/>
    <xf numFmtId="3" fontId="51" fillId="0" borderId="137" xfId="1" applyNumberFormat="1" applyFont="1" applyBorder="1"/>
    <xf numFmtId="3" fontId="21" fillId="0" borderId="139" xfId="1" applyNumberFormat="1" applyFont="1" applyBorder="1" applyAlignment="1">
      <alignment horizontal="center" vertical="center" wrapText="1"/>
    </xf>
    <xf numFmtId="3" fontId="21" fillId="0" borderId="140" xfId="1" applyNumberFormat="1" applyFont="1" applyBorder="1" applyAlignment="1">
      <alignment horizontal="center" vertical="center" wrapText="1"/>
    </xf>
    <xf numFmtId="3" fontId="2" fillId="0" borderId="141" xfId="1" applyNumberFormat="1" applyFont="1" applyBorder="1" applyAlignment="1">
      <alignment horizontal="right"/>
    </xf>
    <xf numFmtId="3" fontId="21" fillId="0" borderId="142" xfId="1" applyNumberFormat="1" applyFont="1" applyBorder="1" applyAlignment="1">
      <alignment horizontal="center" vertical="center" wrapText="1"/>
    </xf>
    <xf numFmtId="3" fontId="2" fillId="0" borderId="143" xfId="1" applyNumberFormat="1" applyFont="1" applyBorder="1" applyAlignment="1">
      <alignment horizontal="right"/>
    </xf>
    <xf numFmtId="3" fontId="1" fillId="0" borderId="144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3" fontId="47" fillId="0" borderId="67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1" fillId="0" borderId="148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5" xfId="1" applyFont="1" applyBorder="1"/>
    <xf numFmtId="0" fontId="24" fillId="0" borderId="156" xfId="1" applyFont="1" applyBorder="1"/>
    <xf numFmtId="49" fontId="65" fillId="0" borderId="94" xfId="3" applyNumberFormat="1" applyFont="1" applyBorder="1"/>
    <xf numFmtId="3" fontId="7" fillId="0" borderId="94" xfId="5" applyNumberFormat="1" applyFont="1" applyBorder="1"/>
    <xf numFmtId="3" fontId="7" fillId="0" borderId="128" xfId="5" applyNumberFormat="1" applyFont="1" applyBorder="1"/>
    <xf numFmtId="3" fontId="65" fillId="0" borderId="98" xfId="3" applyNumberFormat="1" applyFont="1" applyBorder="1"/>
    <xf numFmtId="3" fontId="65" fillId="0" borderId="151" xfId="3" applyNumberFormat="1" applyFont="1" applyBorder="1"/>
    <xf numFmtId="3" fontId="1" fillId="0" borderId="98" xfId="5" applyNumberFormat="1" applyBorder="1"/>
    <xf numFmtId="3" fontId="65" fillId="0" borderId="56" xfId="3" applyNumberFormat="1" applyFont="1" applyBorder="1"/>
    <xf numFmtId="3" fontId="1" fillId="0" borderId="56" xfId="5" applyNumberFormat="1" applyBorder="1"/>
    <xf numFmtId="3" fontId="65" fillId="0" borderId="66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3" fontId="65" fillId="0" borderId="128" xfId="3" applyNumberFormat="1" applyFont="1" applyBorder="1"/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49" xfId="1" applyNumberFormat="1" applyFont="1" applyBorder="1" applyAlignment="1">
      <alignment horizontal="right"/>
    </xf>
    <xf numFmtId="0" fontId="6" fillId="0" borderId="170" xfId="1" applyFont="1" applyBorder="1"/>
    <xf numFmtId="0" fontId="6" fillId="0" borderId="171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 applyAlignment="1">
      <alignment horizontal="right"/>
    </xf>
    <xf numFmtId="3" fontId="7" fillId="0" borderId="86" xfId="5" applyNumberFormat="1" applyFont="1" applyBorder="1"/>
    <xf numFmtId="2" fontId="31" fillId="0" borderId="148" xfId="3" applyNumberFormat="1" applyFont="1" applyBorder="1" applyAlignment="1">
      <alignment horizontal="center" wrapText="1"/>
    </xf>
    <xf numFmtId="3" fontId="65" fillId="0" borderId="77" xfId="5" applyNumberFormat="1" applyFont="1" applyBorder="1" applyAlignment="1">
      <alignment horizontal="right" vertical="center"/>
    </xf>
    <xf numFmtId="49" fontId="31" fillId="0" borderId="94" xfId="3" applyNumberFormat="1" applyFont="1" applyBorder="1" applyAlignment="1">
      <alignment horizontal="right" wrapText="1"/>
    </xf>
    <xf numFmtId="3" fontId="31" fillId="0" borderId="128" xfId="3" applyNumberFormat="1" applyFont="1" applyBorder="1" applyAlignment="1">
      <alignment horizontal="right" vertical="center"/>
    </xf>
    <xf numFmtId="3" fontId="7" fillId="0" borderId="94" xfId="5" applyNumberFormat="1" applyFont="1" applyBorder="1" applyAlignment="1">
      <alignment horizontal="right"/>
    </xf>
    <xf numFmtId="3" fontId="7" fillId="0" borderId="128" xfId="5" applyNumberFormat="1" applyFont="1" applyBorder="1" applyAlignment="1">
      <alignment horizontal="right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3" fontId="65" fillId="0" borderId="164" xfId="3" applyNumberFormat="1" applyFont="1" applyBorder="1"/>
    <xf numFmtId="0" fontId="72" fillId="0" borderId="0" xfId="0" applyFont="1"/>
    <xf numFmtId="3" fontId="31" fillId="0" borderId="130" xfId="3" applyNumberFormat="1" applyFont="1" applyBorder="1" applyAlignment="1">
      <alignment horizontal="right" vertical="center"/>
    </xf>
    <xf numFmtId="3" fontId="31" fillId="0" borderId="0" xfId="3" applyNumberFormat="1" applyFont="1" applyAlignment="1">
      <alignment horizontal="right" vertical="center" wrapText="1"/>
    </xf>
    <xf numFmtId="3" fontId="67" fillId="0" borderId="130" xfId="3" applyNumberFormat="1" applyFont="1" applyBorder="1"/>
    <xf numFmtId="3" fontId="65" fillId="0" borderId="159" xfId="3" applyNumberFormat="1" applyFont="1" applyBorder="1"/>
    <xf numFmtId="3" fontId="65" fillId="0" borderId="130" xfId="3" applyNumberFormat="1" applyFont="1" applyBorder="1"/>
    <xf numFmtId="3" fontId="65" fillId="0" borderId="160" xfId="3" applyNumberFormat="1" applyFont="1" applyBorder="1"/>
    <xf numFmtId="3" fontId="65" fillId="0" borderId="131" xfId="3" applyNumberFormat="1" applyFont="1" applyBorder="1"/>
    <xf numFmtId="3" fontId="65" fillId="0" borderId="86" xfId="3" applyNumberFormat="1" applyFont="1" applyBorder="1"/>
    <xf numFmtId="3" fontId="31" fillId="0" borderId="94" xfId="3" applyNumberFormat="1" applyFont="1" applyBorder="1" applyAlignment="1">
      <alignment horizontal="right" vertical="center"/>
    </xf>
    <xf numFmtId="3" fontId="31" fillId="0" borderId="162" xfId="3" applyNumberFormat="1" applyFont="1" applyBorder="1" applyAlignment="1">
      <alignment horizontal="right" vertical="center"/>
    </xf>
    <xf numFmtId="3" fontId="67" fillId="0" borderId="94" xfId="3" applyNumberFormat="1" applyFont="1" applyBorder="1"/>
    <xf numFmtId="3" fontId="67" fillId="0" borderId="162" xfId="3" applyNumberFormat="1" applyFont="1" applyBorder="1"/>
    <xf numFmtId="3" fontId="65" fillId="0" borderId="72" xfId="3" applyNumberFormat="1" applyFont="1" applyBorder="1"/>
    <xf numFmtId="3" fontId="65" fillId="0" borderId="64" xfId="3" applyNumberFormat="1" applyFont="1" applyBorder="1"/>
    <xf numFmtId="3" fontId="65" fillId="0" borderId="99" xfId="3" applyNumberFormat="1" applyFont="1" applyBorder="1"/>
    <xf numFmtId="3" fontId="65" fillId="0" borderId="97" xfId="3" applyNumberFormat="1" applyFont="1" applyBorder="1"/>
    <xf numFmtId="3" fontId="65" fillId="0" borderId="124" xfId="3" applyNumberFormat="1" applyFont="1" applyBorder="1"/>
    <xf numFmtId="3" fontId="65" fillId="0" borderId="67" xfId="3" applyNumberFormat="1" applyFont="1" applyBorder="1"/>
    <xf numFmtId="3" fontId="65" fillId="0" borderId="94" xfId="3" applyNumberFormat="1" applyFont="1" applyBorder="1"/>
    <xf numFmtId="3" fontId="65" fillId="0" borderId="162" xfId="3" applyNumberFormat="1" applyFont="1" applyBorder="1"/>
    <xf numFmtId="3" fontId="65" fillId="0" borderId="147" xfId="3" applyNumberFormat="1" applyFont="1" applyBorder="1"/>
    <xf numFmtId="3" fontId="65" fillId="0" borderId="167" xfId="3" applyNumberFormat="1" applyFont="1" applyBorder="1"/>
    <xf numFmtId="49" fontId="21" fillId="0" borderId="75" xfId="5" applyNumberFormat="1" applyFont="1" applyBorder="1" applyAlignment="1">
      <alignment horizontal="center" vertical="center" wrapText="1"/>
    </xf>
    <xf numFmtId="3" fontId="7" fillId="0" borderId="147" xfId="5" applyNumberFormat="1" applyFont="1" applyBorder="1"/>
    <xf numFmtId="3" fontId="7" fillId="0" borderId="164" xfId="5" applyNumberFormat="1" applyFont="1" applyBorder="1"/>
    <xf numFmtId="3" fontId="1" fillId="0" borderId="84" xfId="5" applyNumberFormat="1" applyBorder="1"/>
    <xf numFmtId="49" fontId="64" fillId="0" borderId="85" xfId="5" applyNumberFormat="1" applyFont="1" applyBorder="1" applyAlignment="1">
      <alignment horizontal="center" vertical="center" wrapText="1"/>
    </xf>
    <xf numFmtId="49" fontId="64" fillId="0" borderId="127" xfId="5" applyNumberFormat="1" applyFont="1" applyBorder="1" applyAlignment="1">
      <alignment horizontal="center" vertical="center" wrapText="1"/>
    </xf>
    <xf numFmtId="3" fontId="7" fillId="0" borderId="87" xfId="5" applyNumberFormat="1" applyFont="1" applyBorder="1" applyAlignment="1">
      <alignment horizontal="right"/>
    </xf>
    <xf numFmtId="3" fontId="7" fillId="0" borderId="87" xfId="5" applyNumberFormat="1" applyFont="1" applyBorder="1"/>
    <xf numFmtId="49" fontId="21" fillId="0" borderId="157" xfId="5" applyNumberFormat="1" applyFont="1" applyBorder="1" applyAlignment="1">
      <alignment vertical="center" wrapText="1"/>
    </xf>
    <xf numFmtId="49" fontId="21" fillId="0" borderId="88" xfId="5" applyNumberFormat="1" applyFont="1" applyBorder="1" applyAlignment="1">
      <alignment horizontal="center" vertical="center" wrapText="1"/>
    </xf>
    <xf numFmtId="3" fontId="7" fillId="0" borderId="91" xfId="5" applyNumberFormat="1" applyFont="1" applyBorder="1"/>
    <xf numFmtId="3" fontId="7" fillId="0" borderId="172" xfId="5" applyNumberFormat="1" applyFont="1" applyBorder="1"/>
    <xf numFmtId="3" fontId="65" fillId="0" borderId="87" xfId="3" applyNumberFormat="1" applyFont="1" applyBorder="1"/>
    <xf numFmtId="0" fontId="13" fillId="0" borderId="0" xfId="0" applyFont="1"/>
    <xf numFmtId="0" fontId="31" fillId="0" borderId="7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136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 wrapText="1"/>
    </xf>
    <xf numFmtId="0" fontId="13" fillId="0" borderId="148" xfId="0" applyFont="1" applyBorder="1"/>
    <xf numFmtId="0" fontId="13" fillId="0" borderId="77" xfId="0" applyFont="1" applyBorder="1"/>
    <xf numFmtId="0" fontId="13" fillId="0" borderId="87" xfId="0" applyFont="1" applyBorder="1"/>
    <xf numFmtId="0" fontId="13" fillId="0" borderId="86" xfId="0" applyFont="1" applyBorder="1"/>
    <xf numFmtId="0" fontId="13" fillId="0" borderId="157" xfId="0" applyFont="1" applyBorder="1"/>
    <xf numFmtId="0" fontId="13" fillId="0" borderId="75" xfId="0" applyFont="1" applyBorder="1"/>
    <xf numFmtId="0" fontId="13" fillId="0" borderId="88" xfId="0" applyFont="1" applyBorder="1"/>
    <xf numFmtId="0" fontId="13" fillId="0" borderId="85" xfId="0" applyFont="1" applyBorder="1"/>
    <xf numFmtId="0" fontId="13" fillId="0" borderId="91" xfId="0" applyFont="1" applyBorder="1"/>
    <xf numFmtId="0" fontId="13" fillId="0" borderId="84" xfId="0" applyFont="1" applyBorder="1"/>
    <xf numFmtId="3" fontId="76" fillId="0" borderId="128" xfId="0" applyNumberFormat="1" applyFont="1" applyBorder="1"/>
    <xf numFmtId="3" fontId="76" fillId="0" borderId="94" xfId="0" applyNumberFormat="1" applyFont="1" applyBorder="1"/>
    <xf numFmtId="3" fontId="76" fillId="0" borderId="162" xfId="0" applyNumberFormat="1" applyFont="1" applyBorder="1"/>
    <xf numFmtId="3" fontId="76" fillId="0" borderId="86" xfId="0" applyNumberFormat="1" applyFont="1" applyBorder="1"/>
    <xf numFmtId="3" fontId="76" fillId="0" borderId="87" xfId="0" applyNumberFormat="1" applyFont="1" applyBorder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4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68" fillId="0" borderId="0" xfId="5" applyFont="1"/>
    <xf numFmtId="0" fontId="68" fillId="0" borderId="160" xfId="5" applyFont="1" applyBorder="1"/>
    <xf numFmtId="0" fontId="31" fillId="0" borderId="95" xfId="5" applyFont="1" applyBorder="1"/>
    <xf numFmtId="3" fontId="31" fillId="0" borderId="148" xfId="3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5" xfId="1" applyFont="1" applyBorder="1"/>
    <xf numFmtId="0" fontId="20" fillId="0" borderId="133" xfId="1" applyFont="1" applyBorder="1"/>
    <xf numFmtId="0" fontId="20" fillId="0" borderId="169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3" fontId="44" fillId="0" borderId="162" xfId="1" applyNumberFormat="1" applyFont="1" applyBorder="1"/>
    <xf numFmtId="4" fontId="34" fillId="0" borderId="13" xfId="0" applyNumberFormat="1" applyFont="1" applyBorder="1"/>
    <xf numFmtId="3" fontId="2" fillId="0" borderId="175" xfId="1" applyNumberFormat="1" applyFont="1" applyBorder="1" applyAlignment="1">
      <alignment horizontal="right"/>
    </xf>
    <xf numFmtId="0" fontId="23" fillId="0" borderId="176" xfId="1" applyFont="1" applyBorder="1"/>
    <xf numFmtId="0" fontId="24" fillId="0" borderId="177" xfId="1" applyFont="1" applyBorder="1"/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3" fontId="31" fillId="0" borderId="94" xfId="5" applyNumberFormat="1" applyFont="1" applyBorder="1" applyAlignment="1">
      <alignment horizontal="right" vertical="center" wrapText="1"/>
    </xf>
    <xf numFmtId="3" fontId="7" fillId="0" borderId="153" xfId="5" applyNumberFormat="1" applyFont="1" applyBorder="1" applyAlignment="1">
      <alignment horizontal="right" vertical="center" wrapText="1"/>
    </xf>
    <xf numFmtId="3" fontId="76" fillId="0" borderId="145" xfId="0" applyNumberFormat="1" applyFont="1" applyBorder="1"/>
    <xf numFmtId="3" fontId="65" fillId="0" borderId="153" xfId="5" applyNumberFormat="1" applyFont="1" applyBorder="1" applyAlignment="1">
      <alignment horizontal="right" vertical="center" wrapText="1"/>
    </xf>
    <xf numFmtId="3" fontId="67" fillId="0" borderId="86" xfId="3" applyNumberFormat="1" applyFont="1" applyBorder="1"/>
    <xf numFmtId="3" fontId="67" fillId="0" borderId="87" xfId="3" applyNumberFormat="1" applyFont="1" applyBorder="1"/>
    <xf numFmtId="3" fontId="65" fillId="0" borderId="137" xfId="3" applyNumberFormat="1" applyFont="1" applyBorder="1"/>
    <xf numFmtId="3" fontId="65" fillId="0" borderId="161" xfId="3" applyNumberFormat="1" applyFont="1" applyBorder="1"/>
    <xf numFmtId="3" fontId="65" fillId="0" borderId="163" xfId="3" applyNumberFormat="1" applyFont="1" applyBorder="1"/>
    <xf numFmtId="3" fontId="65" fillId="0" borderId="92" xfId="3" applyNumberFormat="1" applyFont="1" applyBorder="1"/>
    <xf numFmtId="3" fontId="31" fillId="0" borderId="86" xfId="3" applyNumberFormat="1" applyFont="1" applyBorder="1" applyAlignment="1">
      <alignment horizontal="right" vertical="center"/>
    </xf>
    <xf numFmtId="3" fontId="65" fillId="0" borderId="115" xfId="3" applyNumberFormat="1" applyFont="1" applyBorder="1"/>
    <xf numFmtId="3" fontId="65" fillId="0" borderId="125" xfId="3" applyNumberFormat="1" applyFont="1" applyBorder="1"/>
    <xf numFmtId="3" fontId="65" fillId="0" borderId="132" xfId="3" applyNumberFormat="1" applyFont="1" applyBorder="1"/>
    <xf numFmtId="0" fontId="31" fillId="0" borderId="92" xfId="3" applyFont="1" applyBorder="1" applyAlignment="1">
      <alignment horizontal="center" vertical="center" wrapText="1"/>
    </xf>
    <xf numFmtId="4" fontId="13" fillId="0" borderId="0" xfId="0" applyNumberFormat="1" applyFont="1"/>
    <xf numFmtId="0" fontId="31" fillId="0" borderId="127" xfId="3" applyFont="1" applyBorder="1" applyAlignment="1">
      <alignment horizontal="center" vertical="center"/>
    </xf>
    <xf numFmtId="3" fontId="31" fillId="0" borderId="85" xfId="5" applyNumberFormat="1" applyFont="1" applyBorder="1" applyAlignment="1">
      <alignment horizontal="right" vertical="center" wrapText="1"/>
    </xf>
    <xf numFmtId="3" fontId="31" fillId="0" borderId="158" xfId="3" applyNumberFormat="1" applyFont="1" applyBorder="1" applyAlignment="1">
      <alignment horizontal="right" vertical="center" wrapText="1"/>
    </xf>
    <xf numFmtId="3" fontId="7" fillId="0" borderId="144" xfId="5" applyNumberFormat="1" applyFont="1" applyBorder="1" applyAlignment="1">
      <alignment horizontal="right" vertical="center" wrapText="1"/>
    </xf>
    <xf numFmtId="3" fontId="7" fillId="0" borderId="128" xfId="5" applyNumberFormat="1" applyFont="1" applyBorder="1" applyAlignment="1">
      <alignment horizontal="right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39" xfId="1" applyNumberFormat="1" applyFont="1" applyBorder="1" applyAlignment="1">
      <alignment horizontal="center" vertic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3" fontId="65" fillId="0" borderId="145" xfId="3" applyNumberFormat="1" applyFont="1" applyBorder="1"/>
    <xf numFmtId="3" fontId="65" fillId="0" borderId="76" xfId="3" applyNumberFormat="1" applyFont="1" applyBorder="1"/>
    <xf numFmtId="0" fontId="80" fillId="0" borderId="163" xfId="0" applyFont="1" applyBorder="1"/>
    <xf numFmtId="0" fontId="80" fillId="0" borderId="137" xfId="0" applyFont="1" applyBorder="1"/>
    <xf numFmtId="0" fontId="82" fillId="0" borderId="137" xfId="0" applyFont="1" applyBorder="1"/>
    <xf numFmtId="0" fontId="83" fillId="0" borderId="86" xfId="0" applyFont="1" applyBorder="1" applyAlignment="1">
      <alignment horizontal="center" vertical="center"/>
    </xf>
    <xf numFmtId="0" fontId="83" fillId="0" borderId="87" xfId="0" applyFont="1" applyBorder="1" applyAlignment="1">
      <alignment horizontal="center" vertical="center"/>
    </xf>
    <xf numFmtId="3" fontId="83" fillId="0" borderId="114" xfId="0" applyNumberFormat="1" applyFont="1" applyBorder="1" applyAlignment="1">
      <alignment horizontal="center" vertical="center"/>
    </xf>
    <xf numFmtId="4" fontId="84" fillId="0" borderId="86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0" fontId="85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3" fontId="81" fillId="0" borderId="115" xfId="0" applyNumberFormat="1" applyFont="1" applyBorder="1"/>
    <xf numFmtId="3" fontId="31" fillId="0" borderId="145" xfId="3" applyNumberFormat="1" applyFont="1" applyBorder="1" applyAlignment="1">
      <alignment horizontal="right" vertical="center"/>
    </xf>
    <xf numFmtId="3" fontId="67" fillId="0" borderId="145" xfId="3" applyNumberFormat="1" applyFont="1" applyBorder="1"/>
    <xf numFmtId="3" fontId="67" fillId="0" borderId="128" xfId="3" applyNumberFormat="1" applyFont="1" applyBorder="1"/>
    <xf numFmtId="2" fontId="1" fillId="0" borderId="0" xfId="1" applyNumberFormat="1"/>
    <xf numFmtId="0" fontId="31" fillId="0" borderId="92" xfId="3" applyFont="1" applyBorder="1" applyAlignment="1">
      <alignment horizontal="center" vertical="center"/>
    </xf>
    <xf numFmtId="3" fontId="31" fillId="0" borderId="87" xfId="3" applyNumberFormat="1" applyFont="1" applyBorder="1" applyAlignment="1">
      <alignment horizontal="right" vertical="center"/>
    </xf>
    <xf numFmtId="3" fontId="31" fillId="0" borderId="88" xfId="5" applyNumberFormat="1" applyFont="1" applyBorder="1" applyAlignment="1">
      <alignment horizontal="right" vertical="center" wrapText="1"/>
    </xf>
    <xf numFmtId="3" fontId="76" fillId="0" borderId="130" xfId="0" applyNumberFormat="1" applyFont="1" applyBorder="1"/>
    <xf numFmtId="4" fontId="34" fillId="0" borderId="55" xfId="0" applyNumberFormat="1" applyFont="1" applyBorder="1"/>
    <xf numFmtId="0" fontId="73" fillId="0" borderId="127" xfId="0" applyFont="1" applyBorder="1" applyAlignment="1">
      <alignment horizontal="center" vertical="center" wrapText="1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7" xfId="3" applyNumberFormat="1" applyFont="1" applyBorder="1"/>
    <xf numFmtId="0" fontId="31" fillId="0" borderId="150" xfId="3" applyFont="1" applyBorder="1"/>
    <xf numFmtId="3" fontId="65" fillId="0" borderId="152" xfId="3" applyNumberFormat="1" applyFont="1" applyBorder="1"/>
    <xf numFmtId="3" fontId="1" fillId="0" borderId="115" xfId="5" applyNumberFormat="1" applyBorder="1"/>
    <xf numFmtId="3" fontId="1" fillId="0" borderId="97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3" fontId="1" fillId="0" borderId="125" xfId="5" applyNumberFormat="1" applyBorder="1"/>
    <xf numFmtId="49" fontId="68" fillId="0" borderId="99" xfId="3" applyNumberFormat="1" applyFont="1" applyBorder="1"/>
    <xf numFmtId="0" fontId="31" fillId="0" borderId="146" xfId="3" applyFont="1" applyBorder="1"/>
    <xf numFmtId="3" fontId="1" fillId="0" borderId="165" xfId="5" applyNumberFormat="1" applyBorder="1"/>
    <xf numFmtId="3" fontId="65" fillId="0" borderId="157" xfId="3" applyNumberFormat="1" applyFont="1" applyBorder="1"/>
    <xf numFmtId="3" fontId="65" fillId="0" borderId="75" xfId="3" applyNumberFormat="1" applyFont="1" applyBorder="1"/>
    <xf numFmtId="0" fontId="13" fillId="0" borderId="73" xfId="0" applyFont="1" applyBorder="1"/>
    <xf numFmtId="0" fontId="13" fillId="0" borderId="69" xfId="0" applyFont="1" applyBorder="1"/>
    <xf numFmtId="0" fontId="13" fillId="0" borderId="138" xfId="0" applyFont="1" applyBorder="1"/>
    <xf numFmtId="0" fontId="13" fillId="0" borderId="169" xfId="0" applyFont="1" applyBorder="1"/>
    <xf numFmtId="0" fontId="13" fillId="0" borderId="126" xfId="0" applyFont="1" applyBorder="1"/>
    <xf numFmtId="3" fontId="65" fillId="0" borderId="167" xfId="0" applyNumberFormat="1" applyFont="1" applyBorder="1"/>
    <xf numFmtId="3" fontId="65" fillId="0" borderId="92" xfId="0" applyNumberFormat="1" applyFont="1" applyBorder="1"/>
    <xf numFmtId="3" fontId="65" fillId="0" borderId="86" xfId="0" applyNumberFormat="1" applyFont="1" applyBorder="1"/>
    <xf numFmtId="3" fontId="65" fillId="0" borderId="94" xfId="0" applyNumberFormat="1" applyFont="1" applyBorder="1"/>
    <xf numFmtId="3" fontId="65" fillId="0" borderId="128" xfId="0" applyNumberFormat="1" applyFont="1" applyBorder="1"/>
    <xf numFmtId="3" fontId="65" fillId="0" borderId="95" xfId="0" applyNumberFormat="1" applyFont="1" applyBorder="1"/>
    <xf numFmtId="3" fontId="65" fillId="0" borderId="130" xfId="0" applyNumberFormat="1" applyFont="1" applyBorder="1"/>
    <xf numFmtId="3" fontId="65" fillId="0" borderId="162" xfId="0" applyNumberFormat="1" applyFont="1" applyBorder="1"/>
    <xf numFmtId="3" fontId="65" fillId="0" borderId="87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3" fontId="51" fillId="0" borderId="0" xfId="0" applyNumberFormat="1" applyFont="1"/>
    <xf numFmtId="0" fontId="80" fillId="0" borderId="125" xfId="0" applyFont="1" applyBorder="1"/>
    <xf numFmtId="4" fontId="55" fillId="0" borderId="0" xfId="0" applyNumberFormat="1" applyFont="1"/>
    <xf numFmtId="4" fontId="55" fillId="0" borderId="55" xfId="0" applyNumberFormat="1" applyFont="1" applyBorder="1"/>
    <xf numFmtId="3" fontId="31" fillId="0" borderId="71" xfId="3" applyNumberFormat="1" applyFont="1" applyBorder="1"/>
    <xf numFmtId="3" fontId="65" fillId="0" borderId="61" xfId="3" applyNumberFormat="1" applyFont="1" applyBorder="1"/>
    <xf numFmtId="3" fontId="65" fillId="0" borderId="62" xfId="3" applyNumberFormat="1" applyFont="1" applyBorder="1"/>
    <xf numFmtId="3" fontId="65" fillId="0" borderId="150" xfId="3" applyNumberFormat="1" applyFont="1" applyBorder="1"/>
    <xf numFmtId="3" fontId="65" fillId="0" borderId="127" xfId="3" applyNumberFormat="1" applyFont="1" applyBorder="1"/>
    <xf numFmtId="3" fontId="65" fillId="0" borderId="136" xfId="3" applyNumberFormat="1" applyFont="1" applyBorder="1"/>
    <xf numFmtId="3" fontId="1" fillId="0" borderId="163" xfId="5" applyNumberFormat="1" applyBorder="1"/>
    <xf numFmtId="3" fontId="31" fillId="0" borderId="72" xfId="3" applyNumberFormat="1" applyFont="1" applyBorder="1"/>
    <xf numFmtId="3" fontId="1" fillId="0" borderId="72" xfId="5" applyNumberFormat="1" applyBorder="1"/>
    <xf numFmtId="3" fontId="1" fillId="0" borderId="137" xfId="5" applyNumberFormat="1" applyBorder="1"/>
    <xf numFmtId="3" fontId="65" fillId="0" borderId="78" xfId="3" applyNumberFormat="1" applyFont="1" applyBorder="1"/>
    <xf numFmtId="3" fontId="31" fillId="0" borderId="97" xfId="3" applyNumberFormat="1" applyFont="1" applyBorder="1"/>
    <xf numFmtId="3" fontId="65" fillId="0" borderId="69" xfId="3" applyNumberFormat="1" applyFont="1" applyBorder="1"/>
    <xf numFmtId="3" fontId="65" fillId="0" borderId="65" xfId="3" applyNumberFormat="1" applyFont="1" applyBorder="1"/>
    <xf numFmtId="3" fontId="65" fillId="0" borderId="0" xfId="3" applyNumberFormat="1" applyFont="1"/>
    <xf numFmtId="3" fontId="65" fillId="0" borderId="138" xfId="3" applyNumberFormat="1" applyFont="1" applyBorder="1"/>
    <xf numFmtId="3" fontId="65" fillId="0" borderId="70" xfId="3" applyNumberFormat="1" applyFont="1" applyBorder="1"/>
    <xf numFmtId="0" fontId="13" fillId="0" borderId="99" xfId="0" applyFont="1" applyBorder="1"/>
    <xf numFmtId="0" fontId="13" fillId="0" borderId="66" xfId="0" applyFont="1" applyBorder="1"/>
    <xf numFmtId="0" fontId="13" fillId="0" borderId="161" xfId="0" applyFont="1" applyBorder="1"/>
    <xf numFmtId="0" fontId="13" fillId="0" borderId="173" xfId="0" applyFont="1" applyBorder="1"/>
    <xf numFmtId="3" fontId="7" fillId="0" borderId="162" xfId="5" applyNumberFormat="1" applyFont="1" applyBorder="1"/>
    <xf numFmtId="3" fontId="7" fillId="0" borderId="145" xfId="5" applyNumberFormat="1" applyFont="1" applyBorder="1"/>
    <xf numFmtId="3" fontId="7" fillId="0" borderId="130" xfId="5" applyNumberFormat="1" applyFont="1" applyBorder="1"/>
    <xf numFmtId="3" fontId="65" fillId="0" borderId="71" xfId="3" applyNumberFormat="1" applyFont="1" applyBorder="1"/>
    <xf numFmtId="3" fontId="65" fillId="0" borderId="73" xfId="3" applyNumberFormat="1" applyFont="1" applyBorder="1"/>
    <xf numFmtId="3" fontId="65" fillId="0" borderId="123" xfId="3" applyNumberFormat="1" applyFont="1" applyBorder="1"/>
    <xf numFmtId="3" fontId="65" fillId="0" borderId="154" xfId="3" applyNumberFormat="1" applyFont="1" applyBorder="1"/>
    <xf numFmtId="3" fontId="1" fillId="0" borderId="61" xfId="5" applyNumberFormat="1" applyBorder="1"/>
    <xf numFmtId="3" fontId="1" fillId="0" borderId="136" xfId="5" applyNumberFormat="1" applyBorder="1"/>
    <xf numFmtId="0" fontId="13" fillId="0" borderId="127" xfId="0" applyFont="1" applyBorder="1"/>
    <xf numFmtId="3" fontId="65" fillId="0" borderId="63" xfId="3" applyNumberFormat="1" applyFont="1" applyBorder="1"/>
    <xf numFmtId="0" fontId="13" fillId="0" borderId="137" xfId="0" applyFont="1" applyBorder="1"/>
    <xf numFmtId="0" fontId="13" fillId="0" borderId="133" xfId="0" applyFont="1" applyBorder="1"/>
    <xf numFmtId="0" fontId="13" fillId="0" borderId="125" xfId="0" applyFont="1" applyBorder="1"/>
    <xf numFmtId="4" fontId="14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3" fontId="68" fillId="0" borderId="124" xfId="3" applyNumberFormat="1" applyFont="1" applyBorder="1"/>
    <xf numFmtId="3" fontId="70" fillId="0" borderId="115" xfId="5" applyNumberFormat="1" applyFont="1" applyBorder="1"/>
    <xf numFmtId="3" fontId="70" fillId="0" borderId="97" xfId="5" applyNumberFormat="1" applyFont="1" applyBorder="1"/>
    <xf numFmtId="0" fontId="13" fillId="0" borderId="92" xfId="0" applyFont="1" applyBorder="1"/>
    <xf numFmtId="0" fontId="13" fillId="0" borderId="132" xfId="0" applyFont="1" applyBorder="1"/>
    <xf numFmtId="3" fontId="68" fillId="0" borderId="64" xfId="3" applyNumberFormat="1" applyFont="1" applyBorder="1"/>
    <xf numFmtId="3" fontId="68" fillId="0" borderId="67" xfId="3" applyNumberFormat="1" applyFont="1" applyBorder="1"/>
    <xf numFmtId="3" fontId="65" fillId="0" borderId="173" xfId="3" applyNumberFormat="1" applyFont="1" applyBorder="1"/>
    <xf numFmtId="3" fontId="76" fillId="15" borderId="128" xfId="0" applyNumberFormat="1" applyFont="1" applyFill="1" applyBorder="1"/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4" fontId="62" fillId="0" borderId="0" xfId="0" applyNumberFormat="1" applyFont="1"/>
    <xf numFmtId="3" fontId="37" fillId="0" borderId="136" xfId="1" applyNumberFormat="1" applyFont="1" applyBorder="1"/>
    <xf numFmtId="3" fontId="37" fillId="0" borderId="137" xfId="1" applyNumberFormat="1" applyFont="1" applyBorder="1"/>
    <xf numFmtId="3" fontId="37" fillId="0" borderId="138" xfId="1" applyNumberFormat="1" applyFont="1" applyBorder="1"/>
    <xf numFmtId="0" fontId="55" fillId="0" borderId="84" xfId="0" applyFont="1" applyBorder="1" applyAlignment="1">
      <alignment horizontal="center" vertical="center"/>
    </xf>
    <xf numFmtId="3" fontId="65" fillId="0" borderId="147" xfId="0" applyNumberFormat="1" applyFont="1" applyBorder="1"/>
    <xf numFmtId="3" fontId="65" fillId="0" borderId="164" xfId="0" applyNumberFormat="1" applyFont="1" applyBorder="1"/>
    <xf numFmtId="3" fontId="65" fillId="0" borderId="76" xfId="0" applyNumberFormat="1" applyFont="1" applyBorder="1"/>
    <xf numFmtId="3" fontId="65" fillId="0" borderId="132" xfId="0" applyNumberFormat="1" applyFont="1" applyBorder="1"/>
    <xf numFmtId="3" fontId="76" fillId="16" borderId="94" xfId="0" applyNumberFormat="1" applyFont="1" applyFill="1" applyBorder="1"/>
    <xf numFmtId="3" fontId="76" fillId="17" borderId="95" xfId="0" applyNumberFormat="1" applyFont="1" applyFill="1" applyBorder="1"/>
    <xf numFmtId="3" fontId="77" fillId="16" borderId="94" xfId="0" applyNumberFormat="1" applyFont="1" applyFill="1" applyBorder="1"/>
    <xf numFmtId="3" fontId="77" fillId="15" borderId="128" xfId="0" applyNumberFormat="1" applyFont="1" applyFill="1" applyBorder="1"/>
    <xf numFmtId="3" fontId="77" fillId="17" borderId="95" xfId="0" applyNumberFormat="1" applyFont="1" applyFill="1" applyBorder="1"/>
    <xf numFmtId="3" fontId="76" fillId="15" borderId="86" xfId="0" applyNumberFormat="1" applyFont="1" applyFill="1" applyBorder="1"/>
    <xf numFmtId="3" fontId="76" fillId="17" borderId="87" xfId="0" applyNumberFormat="1" applyFont="1" applyFill="1" applyBorder="1"/>
    <xf numFmtId="3" fontId="77" fillId="15" borderId="86" xfId="0" applyNumberFormat="1" applyFont="1" applyFill="1" applyBorder="1"/>
    <xf numFmtId="3" fontId="77" fillId="17" borderId="87" xfId="0" applyNumberFormat="1" applyFont="1" applyFill="1" applyBorder="1"/>
    <xf numFmtId="3" fontId="13" fillId="16" borderId="0" xfId="0" applyNumberFormat="1" applyFont="1" applyFill="1"/>
    <xf numFmtId="3" fontId="13" fillId="15" borderId="0" xfId="0" applyNumberFormat="1" applyFont="1" applyFill="1"/>
    <xf numFmtId="3" fontId="13" fillId="17" borderId="0" xfId="0" applyNumberFormat="1" applyFont="1" applyFill="1"/>
    <xf numFmtId="3" fontId="65" fillId="0" borderId="122" xfId="3" applyNumberFormat="1" applyFont="1" applyBorder="1"/>
    <xf numFmtId="3" fontId="76" fillId="15" borderId="87" xfId="0" applyNumberFormat="1" applyFont="1" applyFill="1" applyBorder="1"/>
    <xf numFmtId="4" fontId="86" fillId="0" borderId="5" xfId="0" applyNumberFormat="1" applyFont="1" applyBorder="1"/>
    <xf numFmtId="3" fontId="1" fillId="0" borderId="147" xfId="1" applyNumberFormat="1" applyBorder="1"/>
    <xf numFmtId="3" fontId="1" fillId="0" borderId="76" xfId="1" applyNumberFormat="1" applyBorder="1"/>
    <xf numFmtId="3" fontId="1" fillId="0" borderId="92" xfId="1" applyNumberFormat="1" applyBorder="1"/>
    <xf numFmtId="4" fontId="0" fillId="0" borderId="0" xfId="0" applyNumberFormat="1"/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0" fontId="50" fillId="0" borderId="39" xfId="0" applyFont="1" applyBorder="1" applyAlignment="1">
      <alignment horizontal="center" wrapText="1"/>
    </xf>
    <xf numFmtId="0" fontId="50" fillId="0" borderId="0" xfId="1" applyFont="1" applyAlignment="1">
      <alignment horizontal="center"/>
    </xf>
    <xf numFmtId="3" fontId="46" fillId="0" borderId="100" xfId="1" applyNumberFormat="1" applyFont="1" applyBorder="1" applyAlignment="1">
      <alignment horizontal="center"/>
    </xf>
    <xf numFmtId="3" fontId="46" fillId="0" borderId="131" xfId="1" applyNumberFormat="1" applyFont="1" applyBorder="1" applyAlignment="1">
      <alignment horizontal="center"/>
    </xf>
    <xf numFmtId="3" fontId="46" fillId="0" borderId="134" xfId="1" applyNumberFormat="1" applyFont="1" applyBorder="1" applyAlignment="1">
      <alignment horizontal="center"/>
    </xf>
    <xf numFmtId="3" fontId="46" fillId="0" borderId="46" xfId="1" applyNumberFormat="1" applyFont="1" applyBorder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3" fontId="46" fillId="0" borderId="92" xfId="1" applyNumberFormat="1" applyFont="1" applyBorder="1" applyAlignment="1">
      <alignment horizontal="center"/>
    </xf>
    <xf numFmtId="3" fontId="46" fillId="0" borderId="135" xfId="1" applyNumberFormat="1" applyFont="1" applyBorder="1" applyAlignment="1">
      <alignment horizontal="center"/>
    </xf>
    <xf numFmtId="4" fontId="20" fillId="0" borderId="131" xfId="1" applyNumberFormat="1" applyFont="1" applyBorder="1" applyAlignment="1">
      <alignment horizontal="center"/>
    </xf>
    <xf numFmtId="4" fontId="20" fillId="0" borderId="92" xfId="1" applyNumberFormat="1" applyFont="1" applyBorder="1" applyAlignment="1">
      <alignment horizontal="center"/>
    </xf>
    <xf numFmtId="4" fontId="20" fillId="0" borderId="46" xfId="1" applyNumberFormat="1" applyFont="1" applyBorder="1" applyAlignment="1">
      <alignment horizontal="center"/>
    </xf>
    <xf numFmtId="4" fontId="20" fillId="0" borderId="135" xfId="1" applyNumberFormat="1" applyFont="1" applyBorder="1" applyAlignment="1">
      <alignment horizontal="center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0" fontId="55" fillId="0" borderId="173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3" fontId="58" fillId="0" borderId="129" xfId="0" applyNumberFormat="1" applyFont="1" applyBorder="1" applyAlignment="1">
      <alignment horizontal="center"/>
    </xf>
    <xf numFmtId="0" fontId="55" fillId="0" borderId="115" xfId="0" applyFont="1" applyBorder="1" applyAlignment="1">
      <alignment horizontal="center" vertical="center"/>
    </xf>
    <xf numFmtId="0" fontId="69" fillId="0" borderId="147" xfId="5" applyFont="1" applyBorder="1" applyAlignment="1">
      <alignment horizontal="left" vertical="center" wrapText="1"/>
    </xf>
    <xf numFmtId="0" fontId="69" fillId="0" borderId="172" xfId="5" applyFont="1" applyBorder="1" applyAlignment="1">
      <alignment horizontal="left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0" fontId="31" fillId="0" borderId="167" xfId="3" applyFont="1" applyBorder="1" applyAlignment="1">
      <alignment horizontal="center" vertical="center" wrapText="1"/>
    </xf>
    <xf numFmtId="0" fontId="31" fillId="0" borderId="153" xfId="3" applyFont="1" applyBorder="1" applyAlignment="1">
      <alignment horizontal="center" vertical="center" wrapText="1"/>
    </xf>
    <xf numFmtId="0" fontId="31" fillId="0" borderId="158" xfId="3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0" fontId="7" fillId="0" borderId="66" xfId="5" applyFont="1" applyBorder="1" applyAlignment="1">
      <alignment horizontal="center" vertical="center" wrapText="1"/>
    </xf>
    <xf numFmtId="0" fontId="7" fillId="0" borderId="77" xfId="5" applyFont="1" applyBorder="1" applyAlignment="1">
      <alignment horizontal="center" vertical="center" wrapText="1"/>
    </xf>
    <xf numFmtId="0" fontId="7" fillId="0" borderId="75" xfId="5" applyFont="1" applyBorder="1" applyAlignment="1">
      <alignment horizontal="center" vertical="center" wrapText="1"/>
    </xf>
    <xf numFmtId="0" fontId="31" fillId="0" borderId="167" xfId="5" applyFont="1" applyBorder="1" applyAlignment="1">
      <alignment horizontal="center" vertical="center" wrapText="1"/>
    </xf>
    <xf numFmtId="0" fontId="31" fillId="0" borderId="153" xfId="5" applyFont="1" applyBorder="1" applyAlignment="1">
      <alignment horizontal="center" vertical="center" wrapText="1"/>
    </xf>
    <xf numFmtId="0" fontId="31" fillId="0" borderId="158" xfId="5" applyFont="1" applyBorder="1" applyAlignment="1">
      <alignment horizontal="center" vertical="center" wrapText="1"/>
    </xf>
    <xf numFmtId="0" fontId="31" fillId="0" borderId="165" xfId="3" applyFont="1" applyBorder="1" applyAlignment="1">
      <alignment horizontal="center" vertical="center"/>
    </xf>
    <xf numFmtId="0" fontId="31" fillId="0" borderId="166" xfId="3" applyFont="1" applyBorder="1" applyAlignment="1">
      <alignment horizontal="center" vertical="center"/>
    </xf>
    <xf numFmtId="0" fontId="31" fillId="0" borderId="136" xfId="3" applyFont="1" applyBorder="1" applyAlignment="1">
      <alignment horizontal="center" vertical="center"/>
    </xf>
    <xf numFmtId="0" fontId="31" fillId="0" borderId="165" xfId="5" applyFont="1" applyBorder="1" applyAlignment="1">
      <alignment horizontal="center"/>
    </xf>
    <xf numFmtId="0" fontId="31" fillId="0" borderId="166" xfId="5" applyFont="1" applyBorder="1" applyAlignment="1">
      <alignment horizontal="center"/>
    </xf>
    <xf numFmtId="0" fontId="31" fillId="0" borderId="60" xfId="5" applyFont="1" applyBorder="1" applyAlignment="1">
      <alignment horizontal="center"/>
    </xf>
    <xf numFmtId="0" fontId="31" fillId="0" borderId="132" xfId="3" applyFont="1" applyBorder="1" applyAlignment="1">
      <alignment horizontal="center" vertical="center"/>
    </xf>
    <xf numFmtId="0" fontId="31" fillId="0" borderId="84" xfId="3" applyFont="1" applyBorder="1" applyAlignment="1">
      <alignment horizontal="center" vertical="center"/>
    </xf>
    <xf numFmtId="0" fontId="31" fillId="0" borderId="85" xfId="3" applyFont="1" applyBorder="1" applyAlignment="1">
      <alignment horizontal="center" vertical="center"/>
    </xf>
    <xf numFmtId="0" fontId="31" fillId="0" borderId="148" xfId="3" applyFont="1" applyBorder="1" applyAlignment="1">
      <alignment horizontal="center" vertical="center"/>
    </xf>
    <xf numFmtId="0" fontId="31" fillId="0" borderId="157" xfId="3" applyFont="1" applyBorder="1" applyAlignment="1">
      <alignment horizontal="center" vertical="center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0" fontId="73" fillId="0" borderId="101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168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31" fillId="0" borderId="92" xfId="3" applyFont="1" applyBorder="1" applyAlignment="1">
      <alignment horizontal="center" vertical="center" wrapText="1"/>
    </xf>
    <xf numFmtId="0" fontId="31" fillId="0" borderId="91" xfId="3" applyFont="1" applyBorder="1" applyAlignment="1">
      <alignment horizontal="center" vertical="center" wrapText="1"/>
    </xf>
    <xf numFmtId="0" fontId="31" fillId="0" borderId="88" xfId="3" applyFont="1" applyBorder="1" applyAlignment="1">
      <alignment horizontal="center" vertical="center" wrapText="1"/>
    </xf>
    <xf numFmtId="0" fontId="31" fillId="0" borderId="78" xfId="5" applyFont="1" applyBorder="1" applyAlignment="1">
      <alignment horizontal="center"/>
    </xf>
    <xf numFmtId="0" fontId="31" fillId="0" borderId="137" xfId="5" applyFont="1" applyBorder="1" applyAlignment="1">
      <alignment horizontal="center"/>
    </xf>
    <xf numFmtId="2" fontId="31" fillId="0" borderId="148" xfId="5" applyNumberFormat="1" applyFont="1" applyBorder="1" applyAlignment="1">
      <alignment horizontal="center" vertical="center" wrapText="1"/>
    </xf>
    <xf numFmtId="2" fontId="31" fillId="0" borderId="157" xfId="5" applyNumberFormat="1" applyFont="1" applyBorder="1" applyAlignment="1">
      <alignment horizontal="center" vertical="center" wrapText="1"/>
    </xf>
    <xf numFmtId="49" fontId="64" fillId="0" borderId="100" xfId="5" applyNumberFormat="1" applyFont="1" applyBorder="1" applyAlignment="1">
      <alignment horizontal="center" vertical="center" wrapText="1"/>
    </xf>
    <xf numFmtId="49" fontId="64" fillId="0" borderId="131" xfId="5" applyNumberFormat="1" applyFont="1" applyBorder="1" applyAlignment="1">
      <alignment horizontal="center" vertical="center" wrapText="1"/>
    </xf>
    <xf numFmtId="49" fontId="64" fillId="0" borderId="92" xfId="5" applyNumberFormat="1" applyFont="1" applyBorder="1" applyAlignment="1">
      <alignment horizontal="center" vertical="center" wrapText="1"/>
    </xf>
    <xf numFmtId="49" fontId="64" fillId="0" borderId="168" xfId="5" applyNumberFormat="1" applyFont="1" applyBorder="1" applyAlignment="1">
      <alignment horizontal="center" vertical="center" wrapText="1"/>
    </xf>
    <xf numFmtId="49" fontId="64" fillId="0" borderId="0" xfId="5" applyNumberFormat="1" applyFont="1" applyAlignment="1">
      <alignment horizontal="center" vertical="center" wrapText="1"/>
    </xf>
    <xf numFmtId="49" fontId="64" fillId="0" borderId="91" xfId="5" applyNumberFormat="1" applyFont="1" applyBorder="1" applyAlignment="1">
      <alignment horizontal="center" vertical="center" wrapText="1"/>
    </xf>
    <xf numFmtId="49" fontId="21" fillId="0" borderId="165" xfId="5" applyNumberFormat="1" applyFont="1" applyBorder="1" applyAlignment="1">
      <alignment horizontal="center" vertical="center" wrapText="1"/>
    </xf>
    <xf numFmtId="49" fontId="21" fillId="0" borderId="166" xfId="5" applyNumberFormat="1" applyFont="1" applyBorder="1" applyAlignment="1">
      <alignment horizontal="center" vertical="center" wrapText="1"/>
    </xf>
    <xf numFmtId="49" fontId="21" fillId="0" borderId="136" xfId="5" applyNumberFormat="1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1" fillId="0" borderId="92" xfId="3" applyFont="1" applyBorder="1" applyAlignment="1">
      <alignment horizontal="center" vertical="center"/>
    </xf>
    <xf numFmtId="0" fontId="31" fillId="0" borderId="132" xfId="3" applyFont="1" applyBorder="1" applyAlignment="1">
      <alignment horizontal="center" vertical="center" wrapText="1"/>
    </xf>
    <xf numFmtId="0" fontId="31" fillId="0" borderId="84" xfId="3" applyFont="1" applyBorder="1" applyAlignment="1">
      <alignment horizontal="center" vertical="center" wrapText="1"/>
    </xf>
    <xf numFmtId="0" fontId="31" fillId="0" borderId="85" xfId="3" applyFont="1" applyBorder="1" applyAlignment="1">
      <alignment horizontal="center" vertical="center" wrapText="1"/>
    </xf>
    <xf numFmtId="49" fontId="31" fillId="0" borderId="147" xfId="3" applyNumberFormat="1" applyFont="1" applyBorder="1" applyAlignment="1">
      <alignment horizontal="center" textRotation="90" wrapText="1"/>
    </xf>
    <xf numFmtId="49" fontId="31" fillId="0" borderId="148" xfId="3" applyNumberFormat="1" applyFont="1" applyBorder="1" applyAlignment="1">
      <alignment horizontal="center" textRotation="90" wrapText="1"/>
    </xf>
    <xf numFmtId="49" fontId="31" fillId="0" borderId="157" xfId="3" applyNumberFormat="1" applyFont="1" applyBorder="1" applyAlignment="1">
      <alignment horizontal="center" textRotation="90" wrapText="1"/>
    </xf>
    <xf numFmtId="0" fontId="31" fillId="0" borderId="172" xfId="3" applyFont="1" applyBorder="1" applyAlignment="1">
      <alignment horizontal="center" vertical="center" wrapText="1"/>
    </xf>
    <xf numFmtId="0" fontId="31" fillId="0" borderId="154" xfId="3" applyFont="1" applyBorder="1" applyAlignment="1">
      <alignment horizontal="center" vertical="center" wrapText="1"/>
    </xf>
    <xf numFmtId="0" fontId="31" fillId="0" borderId="174" xfId="3" applyFont="1" applyBorder="1" applyAlignment="1">
      <alignment horizontal="center" vertical="center" wrapText="1"/>
    </xf>
    <xf numFmtId="0" fontId="31" fillId="0" borderId="173" xfId="5" applyFont="1" applyBorder="1" applyAlignment="1">
      <alignment horizontal="center" vertical="center" wrapText="1"/>
    </xf>
    <xf numFmtId="0" fontId="31" fillId="0" borderId="84" xfId="5" applyFont="1" applyBorder="1" applyAlignment="1">
      <alignment horizontal="center" vertical="center" wrapText="1"/>
    </xf>
    <xf numFmtId="0" fontId="31" fillId="0" borderId="85" xfId="5" applyFont="1" applyBorder="1" applyAlignment="1">
      <alignment horizontal="center" vertical="center" wrapText="1"/>
    </xf>
    <xf numFmtId="0" fontId="65" fillId="0" borderId="66" xfId="5" applyFont="1" applyBorder="1" applyAlignment="1">
      <alignment horizontal="center" vertical="center"/>
    </xf>
    <xf numFmtId="0" fontId="65" fillId="0" borderId="75" xfId="5" applyFont="1" applyBorder="1" applyAlignment="1">
      <alignment horizontal="center" vertical="center"/>
    </xf>
    <xf numFmtId="0" fontId="65" fillId="0" borderId="67" xfId="5" applyFont="1" applyBorder="1" applyAlignment="1">
      <alignment horizontal="center" vertical="center" wrapText="1"/>
    </xf>
    <xf numFmtId="0" fontId="65" fillId="0" borderId="158" xfId="5" applyFont="1" applyBorder="1" applyAlignment="1">
      <alignment horizontal="center" vertical="center" wrapText="1"/>
    </xf>
    <xf numFmtId="3" fontId="13" fillId="16" borderId="131" xfId="0" applyNumberFormat="1" applyFont="1" applyFill="1" applyBorder="1" applyAlignment="1">
      <alignment horizontal="center"/>
    </xf>
    <xf numFmtId="3" fontId="77" fillId="0" borderId="114" xfId="0" applyNumberFormat="1" applyFont="1" applyBorder="1" applyAlignment="1">
      <alignment horizontal="center"/>
    </xf>
    <xf numFmtId="3" fontId="77" fillId="0" borderId="130" xfId="0" applyNumberFormat="1" applyFont="1" applyBorder="1" applyAlignment="1">
      <alignment horizontal="center"/>
    </xf>
    <xf numFmtId="3" fontId="77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3" fontId="76" fillId="16" borderId="94" xfId="0" applyNumberFormat="1" applyFont="1" applyFill="1" applyBorder="1" applyAlignment="1">
      <alignment horizontal="center"/>
    </xf>
    <xf numFmtId="3" fontId="76" fillId="16" borderId="130" xfId="0" applyNumberFormat="1" applyFont="1" applyFill="1" applyBorder="1" applyAlignment="1">
      <alignment horizontal="center"/>
    </xf>
    <xf numFmtId="3" fontId="76" fillId="16" borderId="162" xfId="0" applyNumberFormat="1" applyFont="1" applyFill="1" applyBorder="1" applyAlignment="1">
      <alignment horizontal="center"/>
    </xf>
    <xf numFmtId="3" fontId="77" fillId="16" borderId="94" xfId="0" applyNumberFormat="1" applyFont="1" applyFill="1" applyBorder="1" applyAlignment="1">
      <alignment horizontal="center"/>
    </xf>
    <xf numFmtId="3" fontId="77" fillId="16" borderId="130" xfId="0" applyNumberFormat="1" applyFont="1" applyFill="1" applyBorder="1" applyAlignment="1">
      <alignment horizontal="center"/>
    </xf>
    <xf numFmtId="0" fontId="77" fillId="16" borderId="162" xfId="0" applyFont="1" applyFill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3" fontId="73" fillId="0" borderId="114" xfId="0" applyNumberFormat="1" applyFont="1" applyBorder="1" applyAlignment="1">
      <alignment horizontal="center"/>
    </xf>
    <xf numFmtId="3" fontId="73" fillId="0" borderId="130" xfId="0" applyNumberFormat="1" applyFont="1" applyBorder="1" applyAlignment="1">
      <alignment horizontal="center"/>
    </xf>
    <xf numFmtId="3" fontId="73" fillId="0" borderId="87" xfId="0" applyNumberFormat="1" applyFont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87" xfId="0" applyFont="1" applyBorder="1" applyAlignment="1">
      <alignment horizontal="center"/>
    </xf>
    <xf numFmtId="0" fontId="55" fillId="0" borderId="85" xfId="0" applyFont="1" applyBorder="1" applyAlignment="1">
      <alignment horizontal="center" vertical="center"/>
    </xf>
    <xf numFmtId="0" fontId="80" fillId="0" borderId="126" xfId="0" applyFont="1" applyBorder="1"/>
    <xf numFmtId="3" fontId="81" fillId="0" borderId="85" xfId="0" applyNumberFormat="1" applyFont="1" applyBorder="1"/>
    <xf numFmtId="4" fontId="81" fillId="0" borderId="126" xfId="0" applyNumberFormat="1" applyFont="1" applyBorder="1"/>
    <xf numFmtId="4" fontId="83" fillId="0" borderId="86" xfId="0" applyNumberFormat="1" applyFont="1" applyBorder="1"/>
    <xf numFmtId="0" fontId="73" fillId="0" borderId="99" xfId="3" applyFont="1" applyBorder="1" applyAlignment="1">
      <alignment horizontal="center" vertical="center"/>
    </xf>
    <xf numFmtId="3" fontId="1" fillId="0" borderId="84" xfId="5" applyNumberFormat="1" applyFont="1" applyBorder="1" applyAlignment="1">
      <alignment horizontal="right" vertical="center"/>
    </xf>
    <xf numFmtId="3" fontId="1" fillId="0" borderId="84" xfId="5" applyNumberFormat="1" applyFont="1" applyBorder="1"/>
    <xf numFmtId="3" fontId="1" fillId="0" borderId="148" xfId="5" applyNumberFormat="1" applyFont="1" applyBorder="1"/>
    <xf numFmtId="3" fontId="1" fillId="0" borderId="77" xfId="5" applyNumberFormat="1" applyFont="1" applyBorder="1"/>
    <xf numFmtId="3" fontId="1" fillId="0" borderId="91" xfId="5" applyNumberFormat="1" applyFont="1" applyBorder="1"/>
    <xf numFmtId="3" fontId="1" fillId="0" borderId="115" xfId="5" applyNumberFormat="1" applyFont="1" applyBorder="1"/>
    <xf numFmtId="3" fontId="1" fillId="0" borderId="97" xfId="5" applyNumberFormat="1" applyFont="1" applyBorder="1"/>
    <xf numFmtId="3" fontId="1" fillId="0" borderId="56" xfId="5" applyNumberFormat="1" applyFont="1" applyBorder="1"/>
    <xf numFmtId="3" fontId="1" fillId="0" borderId="163" xfId="5" applyNumberFormat="1" applyFont="1" applyBorder="1"/>
    <xf numFmtId="3" fontId="1" fillId="0" borderId="125" xfId="5" applyNumberFormat="1" applyFont="1" applyBorder="1"/>
    <xf numFmtId="3" fontId="1" fillId="0" borderId="72" xfId="5" applyNumberFormat="1" applyFont="1" applyBorder="1"/>
    <xf numFmtId="3" fontId="1" fillId="0" borderId="137" xfId="5" applyNumberFormat="1" applyFont="1" applyBorder="1"/>
    <xf numFmtId="3" fontId="1" fillId="0" borderId="125" xfId="3" applyNumberFormat="1" applyFont="1" applyBorder="1"/>
    <xf numFmtId="3" fontId="1" fillId="0" borderId="173" xfId="5" applyNumberFormat="1" applyFont="1" applyBorder="1"/>
    <xf numFmtId="3" fontId="1" fillId="0" borderId="99" xfId="5" applyNumberFormat="1" applyFont="1" applyBorder="1"/>
    <xf numFmtId="3" fontId="1" fillId="0" borderId="66" xfId="5" applyNumberFormat="1" applyFont="1" applyBorder="1"/>
    <xf numFmtId="3" fontId="1" fillId="0" borderId="161" xfId="5" applyNumberFormat="1" applyFont="1" applyBorder="1"/>
    <xf numFmtId="3" fontId="1" fillId="0" borderId="98" xfId="5" applyNumberFormat="1" applyFont="1" applyBorder="1"/>
    <xf numFmtId="3" fontId="1" fillId="0" borderId="128" xfId="5" applyNumberFormat="1" applyFont="1" applyBorder="1"/>
    <xf numFmtId="3" fontId="1" fillId="0" borderId="87" xfId="5" applyNumberFormat="1" applyFont="1" applyBorder="1"/>
    <xf numFmtId="3" fontId="1" fillId="0" borderId="88" xfId="5" applyNumberFormat="1" applyFont="1" applyBorder="1"/>
    <xf numFmtId="3" fontId="65" fillId="0" borderId="131" xfId="0" applyNumberFormat="1" applyFont="1" applyBorder="1"/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6\Mesa&#269;n&#233;%20plnenie%202026\Apr&#237;l%202026\tabu&#318;ky%20%20podrobn&#233;%20%20%20%20%20%202026.xlsx" TargetMode="External"/><Relationship Id="rId1" Type="http://schemas.openxmlformats.org/officeDocument/2006/relationships/externalLinkPath" Target="tabu&#318;ky%20%20podrobn&#233;%20%20%20%20%20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ppData/Roaming/Microsoft/Excel/tabu&#318;ky%20%20podrobn&#233;%20%202014%20zn&#237;&#382;en&#233;.xlsx" TargetMode="External"/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159300</v>
          </cell>
          <cell r="AJ5">
            <v>0</v>
          </cell>
          <cell r="AK5">
            <v>0</v>
          </cell>
          <cell r="AL5">
            <v>37262.5</v>
          </cell>
          <cell r="AM5">
            <v>0</v>
          </cell>
          <cell r="AN5">
            <v>0</v>
          </cell>
        </row>
        <row r="17">
          <cell r="AI17">
            <v>53150</v>
          </cell>
          <cell r="AJ17">
            <v>0</v>
          </cell>
          <cell r="AK17">
            <v>0</v>
          </cell>
          <cell r="AL17">
            <v>16723.779999999995</v>
          </cell>
          <cell r="AM17">
            <v>0</v>
          </cell>
          <cell r="AN17">
            <v>0</v>
          </cell>
        </row>
        <row r="28">
          <cell r="AI28">
            <v>141970</v>
          </cell>
          <cell r="AJ28">
            <v>0</v>
          </cell>
          <cell r="AK28">
            <v>0</v>
          </cell>
          <cell r="AL28">
            <v>44066.9</v>
          </cell>
          <cell r="AM28">
            <v>0</v>
          </cell>
          <cell r="AN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41">
          <cell r="AI41">
            <v>29875</v>
          </cell>
          <cell r="AJ41">
            <v>0</v>
          </cell>
          <cell r="AK41">
            <v>0</v>
          </cell>
          <cell r="AL41">
            <v>3120.5</v>
          </cell>
          <cell r="AM41">
            <v>0</v>
          </cell>
          <cell r="AN41">
            <v>0</v>
          </cell>
        </row>
        <row r="58">
          <cell r="AI58">
            <v>10000</v>
          </cell>
          <cell r="AJ58">
            <v>0</v>
          </cell>
          <cell r="AK58">
            <v>0</v>
          </cell>
          <cell r="AL58">
            <v>290</v>
          </cell>
          <cell r="AM58">
            <v>0</v>
          </cell>
          <cell r="AN58">
            <v>0</v>
          </cell>
        </row>
        <row r="62">
          <cell r="AI62">
            <v>10500</v>
          </cell>
          <cell r="AJ62">
            <v>52700</v>
          </cell>
          <cell r="AK62">
            <v>0</v>
          </cell>
          <cell r="AL62">
            <v>0</v>
          </cell>
          <cell r="AM62">
            <v>8673.64</v>
          </cell>
          <cell r="AN62">
            <v>0</v>
          </cell>
        </row>
        <row r="79">
          <cell r="AI79">
            <v>105800</v>
          </cell>
          <cell r="AJ79">
            <v>0</v>
          </cell>
          <cell r="AK79">
            <v>0</v>
          </cell>
          <cell r="AL79">
            <v>23214.34</v>
          </cell>
          <cell r="AM79">
            <v>0</v>
          </cell>
          <cell r="AN79">
            <v>0</v>
          </cell>
        </row>
        <row r="88">
          <cell r="AI88">
            <v>9000</v>
          </cell>
          <cell r="AJ88">
            <v>0</v>
          </cell>
          <cell r="AK88">
            <v>0</v>
          </cell>
          <cell r="AL88">
            <v>2600</v>
          </cell>
          <cell r="AM88">
            <v>0</v>
          </cell>
          <cell r="AN88">
            <v>0</v>
          </cell>
        </row>
        <row r="92">
          <cell r="AI92">
            <v>18350</v>
          </cell>
          <cell r="AJ92">
            <v>0</v>
          </cell>
          <cell r="AK92">
            <v>0</v>
          </cell>
          <cell r="AL92">
            <v>4732.2800000000007</v>
          </cell>
          <cell r="AM92">
            <v>0</v>
          </cell>
          <cell r="AN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</sheetData>
      <sheetData sheetId="1">
        <row r="5">
          <cell r="AI5">
            <v>820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4000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12">
          <cell r="AI12">
            <v>5050</v>
          </cell>
          <cell r="AJ12">
            <v>0</v>
          </cell>
          <cell r="AK12">
            <v>0</v>
          </cell>
          <cell r="AL12">
            <v>817.4</v>
          </cell>
          <cell r="AM12">
            <v>0</v>
          </cell>
          <cell r="AN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7">
          <cell r="AI27">
            <v>2000</v>
          </cell>
          <cell r="AJ27">
            <v>0</v>
          </cell>
          <cell r="AK27">
            <v>0</v>
          </cell>
          <cell r="AL27">
            <v>136.78</v>
          </cell>
          <cell r="AM27">
            <v>0</v>
          </cell>
          <cell r="AN27">
            <v>0</v>
          </cell>
        </row>
        <row r="29">
          <cell r="AI29">
            <v>4000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2">
          <cell r="AI32">
            <v>17000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46">
          <cell r="AI46">
            <v>1500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51">
          <cell r="AI51">
            <v>11700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</sheetData>
      <sheetData sheetId="2">
        <row r="4">
          <cell r="AI4">
            <v>121650</v>
          </cell>
          <cell r="AJ4">
            <v>0</v>
          </cell>
          <cell r="AK4">
            <v>0</v>
          </cell>
          <cell r="AL4">
            <v>27281.550000000003</v>
          </cell>
          <cell r="AM4">
            <v>0</v>
          </cell>
          <cell r="AN4">
            <v>0</v>
          </cell>
        </row>
        <row r="23">
          <cell r="AI23">
            <v>1000</v>
          </cell>
          <cell r="AJ23">
            <v>0</v>
          </cell>
          <cell r="AK23">
            <v>0</v>
          </cell>
          <cell r="AL23">
            <v>172.6</v>
          </cell>
          <cell r="AM23">
            <v>0</v>
          </cell>
          <cell r="AN23">
            <v>0</v>
          </cell>
        </row>
        <row r="29">
          <cell r="AI29">
            <v>2300</v>
          </cell>
          <cell r="AJ29">
            <v>0</v>
          </cell>
          <cell r="AK29">
            <v>0</v>
          </cell>
          <cell r="AL29">
            <v>445.37</v>
          </cell>
          <cell r="AM29">
            <v>0</v>
          </cell>
          <cell r="AN29">
            <v>0</v>
          </cell>
        </row>
        <row r="34">
          <cell r="AI34">
            <v>15700</v>
          </cell>
          <cell r="AJ34">
            <v>0</v>
          </cell>
          <cell r="AK34">
            <v>0</v>
          </cell>
          <cell r="AL34">
            <v>7205.45</v>
          </cell>
          <cell r="AM34">
            <v>0</v>
          </cell>
          <cell r="AN34">
            <v>0</v>
          </cell>
        </row>
        <row r="37">
          <cell r="AI37">
            <v>278570</v>
          </cell>
          <cell r="AJ37">
            <v>0</v>
          </cell>
          <cell r="AK37">
            <v>0</v>
          </cell>
          <cell r="AL37">
            <v>76846.449999999983</v>
          </cell>
          <cell r="AM37">
            <v>0</v>
          </cell>
          <cell r="AN37">
            <v>0</v>
          </cell>
        </row>
        <row r="95">
          <cell r="AI95">
            <v>2000</v>
          </cell>
          <cell r="AJ95">
            <v>0</v>
          </cell>
          <cell r="AK95">
            <v>0</v>
          </cell>
          <cell r="AL95">
            <v>257.07</v>
          </cell>
          <cell r="AM95">
            <v>0</v>
          </cell>
          <cell r="AN95">
            <v>0</v>
          </cell>
        </row>
        <row r="100">
          <cell r="AI100">
            <v>7000</v>
          </cell>
          <cell r="AJ100">
            <v>0</v>
          </cell>
          <cell r="AK100">
            <v>0</v>
          </cell>
          <cell r="AL100">
            <v>2416.79</v>
          </cell>
          <cell r="AM100">
            <v>0</v>
          </cell>
          <cell r="AN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3">
        <row r="4">
          <cell r="AI4">
            <v>28450</v>
          </cell>
          <cell r="AJ4">
            <v>0</v>
          </cell>
          <cell r="AK4">
            <v>0</v>
          </cell>
          <cell r="AL4">
            <v>10310.66</v>
          </cell>
          <cell r="AM4">
            <v>0</v>
          </cell>
          <cell r="AN4">
            <v>0</v>
          </cell>
        </row>
        <row r="17">
          <cell r="AI17">
            <v>33900</v>
          </cell>
          <cell r="AJ17">
            <v>0</v>
          </cell>
          <cell r="AK17">
            <v>0</v>
          </cell>
          <cell r="AL17">
            <v>10363.520000000002</v>
          </cell>
          <cell r="AM17">
            <v>0</v>
          </cell>
          <cell r="AN17">
            <v>0</v>
          </cell>
        </row>
        <row r="29">
          <cell r="AI29">
            <v>2000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1">
          <cell r="AI31"/>
          <cell r="AJ31"/>
          <cell r="AK31"/>
          <cell r="AL31"/>
          <cell r="AM31"/>
          <cell r="AN31"/>
        </row>
      </sheetData>
      <sheetData sheetId="4">
        <row r="5">
          <cell r="AI5">
            <v>817705</v>
          </cell>
          <cell r="AJ5">
            <v>2700</v>
          </cell>
          <cell r="AK5">
            <v>16000</v>
          </cell>
          <cell r="AL5">
            <v>231256.85000000003</v>
          </cell>
          <cell r="AM5">
            <v>2705</v>
          </cell>
          <cell r="AN5">
            <v>2568</v>
          </cell>
        </row>
        <row r="61">
          <cell r="AI61">
            <v>201900</v>
          </cell>
          <cell r="AJ61">
            <v>0</v>
          </cell>
          <cell r="AK61">
            <v>0</v>
          </cell>
          <cell r="AL61">
            <v>51152.44000000001</v>
          </cell>
          <cell r="AM61">
            <v>0</v>
          </cell>
          <cell r="AN61">
            <v>0</v>
          </cell>
        </row>
        <row r="84">
          <cell r="AI84">
            <v>84500</v>
          </cell>
          <cell r="AJ84">
            <v>0</v>
          </cell>
          <cell r="AK84">
            <v>0</v>
          </cell>
          <cell r="AL84">
            <v>26057.949999999997</v>
          </cell>
          <cell r="AM84">
            <v>0</v>
          </cell>
          <cell r="AN84">
            <v>0</v>
          </cell>
        </row>
        <row r="87">
          <cell r="AI87">
            <v>86200</v>
          </cell>
          <cell r="AJ87">
            <v>0</v>
          </cell>
          <cell r="AK87">
            <v>0</v>
          </cell>
          <cell r="AL87">
            <v>25930.21</v>
          </cell>
          <cell r="AM87">
            <v>0</v>
          </cell>
          <cell r="AN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  <row r="97">
          <cell r="AI97">
            <v>7400</v>
          </cell>
          <cell r="AJ97">
            <v>0</v>
          </cell>
          <cell r="AK97">
            <v>0</v>
          </cell>
          <cell r="AL97">
            <v>900.13</v>
          </cell>
          <cell r="AM97">
            <v>0</v>
          </cell>
          <cell r="AN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22">
          <cell r="AI122">
            <v>100000</v>
          </cell>
          <cell r="AJ122">
            <v>0</v>
          </cell>
          <cell r="AK122">
            <v>0</v>
          </cell>
          <cell r="AL122">
            <v>46012.04</v>
          </cell>
          <cell r="AM122">
            <v>0</v>
          </cell>
          <cell r="AN122">
            <v>0</v>
          </cell>
        </row>
        <row r="125">
          <cell r="AI125">
            <v>140000</v>
          </cell>
          <cell r="AJ125">
            <v>0</v>
          </cell>
          <cell r="AK125">
            <v>0</v>
          </cell>
          <cell r="AL125">
            <v>49962.64</v>
          </cell>
          <cell r="AM125">
            <v>0</v>
          </cell>
          <cell r="AN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</row>
        <row r="132">
          <cell r="AI132">
            <v>6300</v>
          </cell>
          <cell r="AJ132">
            <v>0</v>
          </cell>
          <cell r="AK132">
            <v>0</v>
          </cell>
          <cell r="AL132">
            <v>1100</v>
          </cell>
          <cell r="AM132">
            <v>0</v>
          </cell>
          <cell r="AN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</sheetData>
      <sheetData sheetId="5">
        <row r="5">
          <cell r="AI5">
            <v>2300</v>
          </cell>
          <cell r="AJ5">
            <v>6500</v>
          </cell>
          <cell r="AK5">
            <v>0</v>
          </cell>
          <cell r="AL5">
            <v>0</v>
          </cell>
          <cell r="AM5">
            <v>6472.64</v>
          </cell>
          <cell r="AN5">
            <v>0</v>
          </cell>
        </row>
        <row r="10">
          <cell r="AI10">
            <v>1666200</v>
          </cell>
          <cell r="AJ10">
            <v>0</v>
          </cell>
          <cell r="AK10">
            <v>0</v>
          </cell>
          <cell r="AL10">
            <v>477614.52</v>
          </cell>
          <cell r="AM10">
            <v>0</v>
          </cell>
          <cell r="AN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1">
          <cell r="AI31">
            <v>215500</v>
          </cell>
          <cell r="AJ31">
            <v>0</v>
          </cell>
          <cell r="AK31">
            <v>0</v>
          </cell>
          <cell r="AL31">
            <v>95239.66</v>
          </cell>
          <cell r="AM31">
            <v>0</v>
          </cell>
          <cell r="AN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0</v>
          </cell>
          <cell r="AJ7">
            <v>237000</v>
          </cell>
          <cell r="AK7">
            <v>0</v>
          </cell>
          <cell r="AL7">
            <v>0</v>
          </cell>
          <cell r="AM7">
            <v>75633.320000000007</v>
          </cell>
          <cell r="AN7">
            <v>0</v>
          </cell>
        </row>
        <row r="15">
          <cell r="AI15">
            <v>50000</v>
          </cell>
          <cell r="AJ15">
            <v>0</v>
          </cell>
          <cell r="AK15">
            <v>0</v>
          </cell>
          <cell r="AL15">
            <v>48397.43</v>
          </cell>
          <cell r="AM15">
            <v>0</v>
          </cell>
          <cell r="AN15">
            <v>0</v>
          </cell>
        </row>
        <row r="17">
          <cell r="AI17">
            <v>200000</v>
          </cell>
          <cell r="AJ17">
            <v>0</v>
          </cell>
          <cell r="AK17">
            <v>0</v>
          </cell>
          <cell r="AL17">
            <v>122798.77</v>
          </cell>
          <cell r="AM17">
            <v>0</v>
          </cell>
          <cell r="AN17">
            <v>0</v>
          </cell>
        </row>
        <row r="19">
          <cell r="AI19">
            <v>93100</v>
          </cell>
          <cell r="AJ19">
            <v>0</v>
          </cell>
          <cell r="AK19">
            <v>0</v>
          </cell>
          <cell r="AL19">
            <v>28080.67</v>
          </cell>
          <cell r="AM19">
            <v>0</v>
          </cell>
          <cell r="AN19">
            <v>0</v>
          </cell>
        </row>
        <row r="26">
          <cell r="AI26">
            <v>30000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8">
          <cell r="AI28">
            <v>10000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31">
          <cell r="AI31">
            <v>375</v>
          </cell>
          <cell r="AJ31">
            <v>20000</v>
          </cell>
          <cell r="AK31">
            <v>0</v>
          </cell>
          <cell r="AL31">
            <v>374.32</v>
          </cell>
          <cell r="AM31">
            <v>0</v>
          </cell>
          <cell r="AN31">
            <v>0</v>
          </cell>
        </row>
        <row r="33">
          <cell r="AI33">
            <v>10000</v>
          </cell>
          <cell r="AJ33">
            <v>2584000</v>
          </cell>
          <cell r="AK33">
            <v>0</v>
          </cell>
          <cell r="AL33">
            <v>0</v>
          </cell>
          <cell r="AM33">
            <v>183754.82</v>
          </cell>
          <cell r="AN33">
            <v>0</v>
          </cell>
        </row>
        <row r="36">
          <cell r="AI36">
            <v>19000</v>
          </cell>
          <cell r="AJ36">
            <v>0</v>
          </cell>
          <cell r="AK36">
            <v>0</v>
          </cell>
          <cell r="AL36">
            <v>6748.74</v>
          </cell>
          <cell r="AM36">
            <v>0</v>
          </cell>
          <cell r="AN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</row>
      </sheetData>
      <sheetData sheetId="7">
        <row r="4">
          <cell r="AI4">
            <v>282000</v>
          </cell>
          <cell r="AJ4">
            <v>0</v>
          </cell>
          <cell r="AK4">
            <v>0</v>
          </cell>
          <cell r="AL4">
            <v>100000</v>
          </cell>
          <cell r="AM4">
            <v>0</v>
          </cell>
          <cell r="AN4">
            <v>0</v>
          </cell>
        </row>
        <row r="7"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</sheetData>
      <sheetData sheetId="8">
        <row r="4">
          <cell r="AI4">
            <v>6000</v>
          </cell>
          <cell r="AJ4">
            <v>0</v>
          </cell>
          <cell r="AK4">
            <v>0</v>
          </cell>
          <cell r="AL4">
            <v>2959.55</v>
          </cell>
          <cell r="AM4">
            <v>0</v>
          </cell>
          <cell r="AN4">
            <v>0</v>
          </cell>
        </row>
        <row r="20">
          <cell r="AI20">
            <v>351180</v>
          </cell>
          <cell r="AJ20">
            <v>0</v>
          </cell>
          <cell r="AK20">
            <v>0</v>
          </cell>
          <cell r="AL20">
            <v>120599</v>
          </cell>
          <cell r="AM20">
            <v>0</v>
          </cell>
          <cell r="AN20">
            <v>0</v>
          </cell>
        </row>
        <row r="23">
          <cell r="AI23">
            <v>511250</v>
          </cell>
          <cell r="AJ23">
            <v>8000</v>
          </cell>
          <cell r="AK23">
            <v>0</v>
          </cell>
          <cell r="AL23">
            <v>167643</v>
          </cell>
          <cell r="AM23">
            <v>0</v>
          </cell>
          <cell r="AN23">
            <v>0</v>
          </cell>
        </row>
        <row r="26">
          <cell r="AI26">
            <v>832712</v>
          </cell>
          <cell r="AJ26">
            <v>0</v>
          </cell>
          <cell r="AK26">
            <v>0</v>
          </cell>
          <cell r="AL26">
            <v>276655</v>
          </cell>
          <cell r="AM26">
            <v>0</v>
          </cell>
          <cell r="AN26">
            <v>0</v>
          </cell>
        </row>
        <row r="29">
          <cell r="AI29"/>
          <cell r="AJ29"/>
          <cell r="AK29"/>
          <cell r="AL29"/>
          <cell r="AM29"/>
          <cell r="AN29"/>
        </row>
        <row r="30">
          <cell r="AI30">
            <v>426865</v>
          </cell>
          <cell r="AJ30">
            <v>118000</v>
          </cell>
          <cell r="AK30">
            <v>0</v>
          </cell>
          <cell r="AL30">
            <v>145833</v>
          </cell>
          <cell r="AM30">
            <v>0</v>
          </cell>
          <cell r="AN30">
            <v>0</v>
          </cell>
        </row>
        <row r="33">
          <cell r="AI33">
            <v>459037</v>
          </cell>
          <cell r="AJ33">
            <v>13012</v>
          </cell>
          <cell r="AK33">
            <v>0</v>
          </cell>
          <cell r="AL33">
            <v>149519</v>
          </cell>
          <cell r="AM33">
            <v>13012</v>
          </cell>
          <cell r="AN33">
            <v>0</v>
          </cell>
        </row>
        <row r="36">
          <cell r="AI36">
            <v>456217</v>
          </cell>
          <cell r="AJ36">
            <v>58000</v>
          </cell>
          <cell r="AK36">
            <v>0</v>
          </cell>
          <cell r="AL36">
            <v>152239</v>
          </cell>
          <cell r="AM36">
            <v>0</v>
          </cell>
          <cell r="AN36">
            <v>0</v>
          </cell>
        </row>
        <row r="39">
          <cell r="AI39"/>
          <cell r="AJ39"/>
          <cell r="AK39"/>
          <cell r="AL39"/>
          <cell r="AM39"/>
          <cell r="AN39"/>
        </row>
        <row r="41">
          <cell r="AI41">
            <v>798820</v>
          </cell>
          <cell r="AJ41">
            <v>0</v>
          </cell>
          <cell r="AK41">
            <v>0</v>
          </cell>
          <cell r="AL41">
            <v>271283</v>
          </cell>
          <cell r="AM41">
            <v>0</v>
          </cell>
          <cell r="AN41">
            <v>0</v>
          </cell>
        </row>
        <row r="45">
          <cell r="AI45">
            <v>1309520</v>
          </cell>
          <cell r="AJ45">
            <v>241000</v>
          </cell>
          <cell r="AK45">
            <v>0</v>
          </cell>
          <cell r="AL45">
            <v>431742</v>
          </cell>
          <cell r="AM45">
            <v>0</v>
          </cell>
          <cell r="AN45">
            <v>0</v>
          </cell>
        </row>
        <row r="49">
          <cell r="AI49">
            <v>2167805</v>
          </cell>
          <cell r="AJ49">
            <v>133000</v>
          </cell>
          <cell r="AK49">
            <v>0</v>
          </cell>
          <cell r="AL49">
            <v>720564</v>
          </cell>
          <cell r="AM49">
            <v>92000</v>
          </cell>
          <cell r="AN49">
            <v>0</v>
          </cell>
        </row>
        <row r="54">
          <cell r="AI54">
            <v>1901382</v>
          </cell>
          <cell r="AJ54">
            <v>395000</v>
          </cell>
          <cell r="AK54">
            <v>0</v>
          </cell>
          <cell r="AL54">
            <v>621676</v>
          </cell>
          <cell r="AM54">
            <v>0</v>
          </cell>
          <cell r="AN54">
            <v>0</v>
          </cell>
        </row>
        <row r="57">
          <cell r="AI57">
            <v>1516301</v>
          </cell>
          <cell r="AJ57">
            <v>0</v>
          </cell>
          <cell r="AK57">
            <v>0</v>
          </cell>
          <cell r="AL57">
            <v>500665</v>
          </cell>
          <cell r="AM57">
            <v>0</v>
          </cell>
          <cell r="AN57">
            <v>0</v>
          </cell>
        </row>
        <row r="60">
          <cell r="AI60">
            <v>843733</v>
          </cell>
          <cell r="AJ60">
            <v>0</v>
          </cell>
          <cell r="AK60">
            <v>0</v>
          </cell>
          <cell r="AL60">
            <v>285735</v>
          </cell>
          <cell r="AM60">
            <v>0</v>
          </cell>
          <cell r="AN60">
            <v>0</v>
          </cell>
        </row>
        <row r="65">
          <cell r="AI65">
            <v>815500</v>
          </cell>
          <cell r="AJ65">
            <v>53000</v>
          </cell>
          <cell r="AK65"/>
          <cell r="AL65">
            <v>286036</v>
          </cell>
          <cell r="AM65"/>
          <cell r="AN65"/>
        </row>
        <row r="66">
          <cell r="AI66">
            <v>270400</v>
          </cell>
          <cell r="AJ66">
            <v>0</v>
          </cell>
          <cell r="AK66"/>
          <cell r="AL66">
            <v>95565</v>
          </cell>
          <cell r="AM66"/>
          <cell r="AN66"/>
        </row>
        <row r="67">
          <cell r="AI67">
            <v>1152120</v>
          </cell>
          <cell r="AJ67">
            <v>0</v>
          </cell>
          <cell r="AK67">
            <v>0</v>
          </cell>
          <cell r="AL67">
            <v>415159.89999999997</v>
          </cell>
          <cell r="AM67">
            <v>0</v>
          </cell>
          <cell r="AN67">
            <v>0</v>
          </cell>
        </row>
        <row r="91">
          <cell r="AI91">
            <v>1111992</v>
          </cell>
          <cell r="AJ91">
            <v>510145</v>
          </cell>
          <cell r="AK91"/>
          <cell r="AL91">
            <v>352496.33</v>
          </cell>
          <cell r="AM91"/>
          <cell r="AN91"/>
        </row>
        <row r="92">
          <cell r="AI92">
            <v>615614</v>
          </cell>
          <cell r="AJ92">
            <v>26988</v>
          </cell>
          <cell r="AK92">
            <v>0</v>
          </cell>
          <cell r="AL92">
            <v>81558.2</v>
          </cell>
          <cell r="AM92">
            <v>0</v>
          </cell>
          <cell r="AN92">
            <v>0</v>
          </cell>
        </row>
        <row r="99">
          <cell r="AI99">
            <v>1351030</v>
          </cell>
          <cell r="AJ99"/>
          <cell r="AK99"/>
          <cell r="AL99">
            <v>677734.43</v>
          </cell>
          <cell r="AM99"/>
          <cell r="AN99"/>
        </row>
      </sheetData>
      <sheetData sheetId="9">
        <row r="4">
          <cell r="AI4">
            <v>5000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</row>
        <row r="12">
          <cell r="AI12">
            <v>68200</v>
          </cell>
          <cell r="AJ12">
            <v>0</v>
          </cell>
          <cell r="AK12">
            <v>0</v>
          </cell>
          <cell r="AL12">
            <v>27118.979999999996</v>
          </cell>
          <cell r="AM12">
            <v>0</v>
          </cell>
          <cell r="AN12">
            <v>0</v>
          </cell>
        </row>
        <row r="32">
          <cell r="AI32">
            <v>80010</v>
          </cell>
          <cell r="AJ32">
            <v>0</v>
          </cell>
          <cell r="AK32">
            <v>0</v>
          </cell>
          <cell r="AL32">
            <v>24585.309999999998</v>
          </cell>
          <cell r="AM32">
            <v>0</v>
          </cell>
          <cell r="AN32">
            <v>0</v>
          </cell>
        </row>
        <row r="54">
          <cell r="AI54">
            <v>23500</v>
          </cell>
          <cell r="AJ54">
            <v>0</v>
          </cell>
          <cell r="AK54">
            <v>0</v>
          </cell>
          <cell r="AL54">
            <v>13369.12</v>
          </cell>
          <cell r="AM54">
            <v>0</v>
          </cell>
          <cell r="AN54">
            <v>0</v>
          </cell>
        </row>
        <row r="66">
          <cell r="AI66">
            <v>263300</v>
          </cell>
          <cell r="AJ66">
            <v>0</v>
          </cell>
          <cell r="AK66">
            <v>0</v>
          </cell>
          <cell r="AL66">
            <v>87427.589999999982</v>
          </cell>
          <cell r="AM66">
            <v>0</v>
          </cell>
          <cell r="AN66">
            <v>0</v>
          </cell>
        </row>
        <row r="89">
          <cell r="AI89">
            <v>11900</v>
          </cell>
          <cell r="AJ89">
            <v>5690</v>
          </cell>
          <cell r="AK89">
            <v>0</v>
          </cell>
          <cell r="AL89">
            <v>3199.6900000000005</v>
          </cell>
          <cell r="AM89">
            <v>0</v>
          </cell>
          <cell r="AN89">
            <v>0</v>
          </cell>
        </row>
        <row r="97">
          <cell r="AI97">
            <v>1000</v>
          </cell>
          <cell r="AJ97">
            <v>550000</v>
          </cell>
          <cell r="AK97">
            <v>0</v>
          </cell>
          <cell r="AL97">
            <v>148.63999999999999</v>
          </cell>
          <cell r="AM97">
            <v>0</v>
          </cell>
          <cell r="AN97">
            <v>0</v>
          </cell>
        </row>
        <row r="103">
          <cell r="AI103">
            <v>11000</v>
          </cell>
          <cell r="AJ103">
            <v>0</v>
          </cell>
          <cell r="AK103">
            <v>0</v>
          </cell>
          <cell r="AL103">
            <v>6426.28</v>
          </cell>
          <cell r="AM103">
            <v>0</v>
          </cell>
          <cell r="AN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  <cell r="AL111">
            <v>1800</v>
          </cell>
          <cell r="AM111">
            <v>0</v>
          </cell>
          <cell r="AN111">
            <v>0</v>
          </cell>
        </row>
      </sheetData>
      <sheetData sheetId="10">
        <row r="4">
          <cell r="AI4">
            <v>19250</v>
          </cell>
          <cell r="AJ4">
            <v>0</v>
          </cell>
          <cell r="AK4">
            <v>0</v>
          </cell>
          <cell r="AL4">
            <v>1817.7800000000002</v>
          </cell>
          <cell r="AM4">
            <v>0</v>
          </cell>
          <cell r="AN4">
            <v>0</v>
          </cell>
        </row>
        <row r="20">
          <cell r="AI20">
            <v>205500</v>
          </cell>
          <cell r="AJ20">
            <v>0</v>
          </cell>
          <cell r="AK20">
            <v>0</v>
          </cell>
          <cell r="AL20">
            <v>64485.79</v>
          </cell>
          <cell r="AM20">
            <v>0</v>
          </cell>
          <cell r="AN20">
            <v>0</v>
          </cell>
        </row>
        <row r="27">
          <cell r="AI27">
            <v>7700</v>
          </cell>
          <cell r="AJ27">
            <v>37650</v>
          </cell>
          <cell r="AK27">
            <v>0</v>
          </cell>
          <cell r="AL27">
            <v>658.9</v>
          </cell>
          <cell r="AM27">
            <v>0</v>
          </cell>
          <cell r="AN27">
            <v>0</v>
          </cell>
        </row>
        <row r="37">
          <cell r="AI37">
            <v>795843</v>
          </cell>
          <cell r="AJ37">
            <v>286244</v>
          </cell>
          <cell r="AK37">
            <v>0</v>
          </cell>
          <cell r="AL37">
            <v>213577.37999999995</v>
          </cell>
          <cell r="AM37">
            <v>246591.92</v>
          </cell>
          <cell r="AN37">
            <v>0</v>
          </cell>
        </row>
        <row r="126">
          <cell r="AI126">
            <v>15300</v>
          </cell>
          <cell r="AJ126">
            <v>0</v>
          </cell>
          <cell r="AK126">
            <v>0</v>
          </cell>
          <cell r="AL126">
            <v>3362.91</v>
          </cell>
          <cell r="AM126">
            <v>0</v>
          </cell>
          <cell r="AN126">
            <v>0</v>
          </cell>
        </row>
        <row r="141">
          <cell r="AI141">
            <v>500</v>
          </cell>
          <cell r="AJ141">
            <v>400000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  <cell r="AL144">
            <v>600</v>
          </cell>
          <cell r="AM144">
            <v>0</v>
          </cell>
          <cell r="AN144">
            <v>0</v>
          </cell>
        </row>
      </sheetData>
      <sheetData sheetId="11">
        <row r="5">
          <cell r="AI5">
            <v>538000</v>
          </cell>
          <cell r="AJ5">
            <v>0</v>
          </cell>
          <cell r="AK5">
            <v>0</v>
          </cell>
          <cell r="AL5">
            <v>33889.480000000003</v>
          </cell>
          <cell r="AM5">
            <v>0</v>
          </cell>
          <cell r="AN5">
            <v>0</v>
          </cell>
        </row>
        <row r="24">
          <cell r="AI24">
            <v>6500</v>
          </cell>
          <cell r="AJ24">
            <v>0</v>
          </cell>
          <cell r="AK24">
            <v>0</v>
          </cell>
          <cell r="AL24">
            <v>3850</v>
          </cell>
          <cell r="AM24">
            <v>0</v>
          </cell>
          <cell r="AN24">
            <v>0</v>
          </cell>
        </row>
        <row r="26">
          <cell r="AI26">
            <v>500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44">
          <cell r="AI44">
            <v>800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8">
          <cell r="AI48">
            <v>5000</v>
          </cell>
          <cell r="AJ48">
            <v>0</v>
          </cell>
          <cell r="AK48">
            <v>0</v>
          </cell>
          <cell r="AL48">
            <v>701.1</v>
          </cell>
          <cell r="AM48">
            <v>0</v>
          </cell>
          <cell r="AN48">
            <v>0</v>
          </cell>
        </row>
        <row r="51">
          <cell r="AI51">
            <v>237800</v>
          </cell>
          <cell r="AJ51">
            <v>530000</v>
          </cell>
          <cell r="AK51">
            <v>0</v>
          </cell>
          <cell r="AL51">
            <v>1488.6</v>
          </cell>
          <cell r="AM51">
            <v>0</v>
          </cell>
          <cell r="AN51">
            <v>0</v>
          </cell>
        </row>
        <row r="72">
          <cell r="AI72">
            <v>5000</v>
          </cell>
          <cell r="AJ72">
            <v>0</v>
          </cell>
          <cell r="AK72">
            <v>0</v>
          </cell>
          <cell r="AL72">
            <v>363.24</v>
          </cell>
          <cell r="AM72">
            <v>0</v>
          </cell>
          <cell r="AN72">
            <v>0</v>
          </cell>
        </row>
        <row r="74">
          <cell r="AI74">
            <v>42500</v>
          </cell>
          <cell r="AJ74">
            <v>0</v>
          </cell>
          <cell r="AK74">
            <v>0</v>
          </cell>
          <cell r="AL74">
            <v>12417.19</v>
          </cell>
          <cell r="AM74">
            <v>0</v>
          </cell>
          <cell r="AN74">
            <v>0</v>
          </cell>
        </row>
        <row r="78">
          <cell r="AI78">
            <v>42100</v>
          </cell>
          <cell r="AJ78">
            <v>22730</v>
          </cell>
          <cell r="AK78">
            <v>0</v>
          </cell>
          <cell r="AL78">
            <v>6048.89</v>
          </cell>
          <cell r="AM78">
            <v>0</v>
          </cell>
          <cell r="AN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12">
        <row r="5">
          <cell r="AI5">
            <v>7050</v>
          </cell>
          <cell r="AJ5">
            <v>0</v>
          </cell>
          <cell r="AK5">
            <v>0</v>
          </cell>
          <cell r="AL5">
            <v>1760</v>
          </cell>
          <cell r="AM5">
            <v>0</v>
          </cell>
          <cell r="AN5">
            <v>0</v>
          </cell>
        </row>
        <row r="8">
          <cell r="AI8"/>
          <cell r="AJ8"/>
          <cell r="AK8"/>
          <cell r="AL8"/>
          <cell r="AM8"/>
          <cell r="AN8"/>
        </row>
        <row r="9">
          <cell r="AI9">
            <v>11500</v>
          </cell>
          <cell r="AJ9">
            <v>0</v>
          </cell>
          <cell r="AK9">
            <v>0</v>
          </cell>
          <cell r="AL9">
            <v>2580</v>
          </cell>
          <cell r="AM9">
            <v>0</v>
          </cell>
          <cell r="AN9">
            <v>0</v>
          </cell>
        </row>
        <row r="17">
          <cell r="AI17">
            <v>90000</v>
          </cell>
          <cell r="AJ17">
            <v>0</v>
          </cell>
          <cell r="AK17">
            <v>0</v>
          </cell>
          <cell r="AL17">
            <v>14630</v>
          </cell>
          <cell r="AM17">
            <v>0</v>
          </cell>
          <cell r="AN17">
            <v>0</v>
          </cell>
        </row>
        <row r="21">
          <cell r="AI21">
            <v>10000</v>
          </cell>
          <cell r="AJ21">
            <v>0</v>
          </cell>
          <cell r="AK21">
            <v>0</v>
          </cell>
          <cell r="AL21">
            <v>1620</v>
          </cell>
          <cell r="AM21">
            <v>0</v>
          </cell>
          <cell r="AN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6">
          <cell r="AI26">
            <v>122900</v>
          </cell>
          <cell r="AJ26">
            <v>0</v>
          </cell>
          <cell r="AK26">
            <v>0</v>
          </cell>
          <cell r="AL26">
            <v>29064.59</v>
          </cell>
          <cell r="AM26">
            <v>0</v>
          </cell>
          <cell r="AN26">
            <v>0</v>
          </cell>
        </row>
        <row r="29">
          <cell r="AI29">
            <v>30000</v>
          </cell>
          <cell r="AJ29">
            <v>1617000</v>
          </cell>
          <cell r="AK29">
            <v>0</v>
          </cell>
          <cell r="AL29">
            <v>0</v>
          </cell>
          <cell r="AM29">
            <v>991971.17</v>
          </cell>
          <cell r="AN29">
            <v>0</v>
          </cell>
        </row>
        <row r="32">
          <cell r="AI32">
            <v>64100</v>
          </cell>
          <cell r="AJ32">
            <v>0</v>
          </cell>
          <cell r="AK32">
            <v>0</v>
          </cell>
          <cell r="AL32">
            <v>10420</v>
          </cell>
          <cell r="AM32">
            <v>0</v>
          </cell>
          <cell r="AN32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7">
          <cell r="AI37">
            <v>1763920</v>
          </cell>
          <cell r="AJ37">
            <v>10000</v>
          </cell>
          <cell r="AK37">
            <v>0</v>
          </cell>
          <cell r="AL37">
            <v>482638.27</v>
          </cell>
          <cell r="AM37">
            <v>5928.6</v>
          </cell>
          <cell r="AN37">
            <v>0</v>
          </cell>
        </row>
        <row r="52">
          <cell r="AI52">
            <v>306150</v>
          </cell>
          <cell r="AJ52">
            <v>0</v>
          </cell>
          <cell r="AK52">
            <v>0</v>
          </cell>
          <cell r="AL52">
            <v>66066.33</v>
          </cell>
          <cell r="AM52">
            <v>0</v>
          </cell>
          <cell r="AN52">
            <v>0</v>
          </cell>
        </row>
        <row r="57">
          <cell r="AI57">
            <v>49500</v>
          </cell>
          <cell r="AJ57">
            <v>0</v>
          </cell>
          <cell r="AK57">
            <v>0</v>
          </cell>
          <cell r="AL57">
            <v>12172.33</v>
          </cell>
          <cell r="AM57">
            <v>0</v>
          </cell>
          <cell r="AN57">
            <v>0</v>
          </cell>
        </row>
        <row r="61">
          <cell r="AI61">
            <v>6550</v>
          </cell>
          <cell r="AJ61">
            <v>0</v>
          </cell>
          <cell r="AK61">
            <v>0</v>
          </cell>
          <cell r="AL61">
            <v>1060</v>
          </cell>
          <cell r="AM61">
            <v>0</v>
          </cell>
          <cell r="AN61">
            <v>0</v>
          </cell>
        </row>
        <row r="64">
          <cell r="AI64">
            <v>84150</v>
          </cell>
          <cell r="AJ64">
            <v>0</v>
          </cell>
          <cell r="AK64">
            <v>0</v>
          </cell>
          <cell r="AL64">
            <v>20672.96</v>
          </cell>
          <cell r="AM64">
            <v>0</v>
          </cell>
          <cell r="AN64">
            <v>0</v>
          </cell>
        </row>
        <row r="67">
          <cell r="AI67">
            <v>8950</v>
          </cell>
          <cell r="AJ67">
            <v>0</v>
          </cell>
          <cell r="AK67">
            <v>0</v>
          </cell>
          <cell r="AL67">
            <v>1460</v>
          </cell>
          <cell r="AM67">
            <v>0</v>
          </cell>
          <cell r="AN67">
            <v>0</v>
          </cell>
        </row>
        <row r="69">
          <cell r="AI69">
            <v>1000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81">
          <cell r="AI81">
            <v>51630</v>
          </cell>
          <cell r="AJ81">
            <v>0</v>
          </cell>
          <cell r="AK81">
            <v>0</v>
          </cell>
          <cell r="AL81">
            <v>870.05</v>
          </cell>
          <cell r="AM81">
            <v>0</v>
          </cell>
          <cell r="AN81">
            <v>0</v>
          </cell>
        </row>
        <row r="106">
          <cell r="AI106">
            <v>20000</v>
          </cell>
          <cell r="AJ106">
            <v>0</v>
          </cell>
          <cell r="AK106">
            <v>0</v>
          </cell>
          <cell r="AL106">
            <v>7538.64</v>
          </cell>
          <cell r="AM106">
            <v>0</v>
          </cell>
          <cell r="AN106">
            <v>0</v>
          </cell>
        </row>
        <row r="108">
          <cell r="AI108">
            <v>193500</v>
          </cell>
          <cell r="AJ108">
            <v>0</v>
          </cell>
          <cell r="AK108">
            <v>0</v>
          </cell>
          <cell r="AL108">
            <v>36709.550000000003</v>
          </cell>
          <cell r="AM108">
            <v>0</v>
          </cell>
          <cell r="AN108">
            <v>0</v>
          </cell>
        </row>
        <row r="114">
          <cell r="AI114">
            <v>110000</v>
          </cell>
          <cell r="AJ114">
            <v>0</v>
          </cell>
          <cell r="AK114">
            <v>0</v>
          </cell>
          <cell r="AL114">
            <v>24970</v>
          </cell>
          <cell r="AM114">
            <v>0</v>
          </cell>
          <cell r="AN114">
            <v>0</v>
          </cell>
        </row>
      </sheetData>
      <sheetData sheetId="13">
        <row r="24">
          <cell r="AI24">
            <v>705250</v>
          </cell>
          <cell r="AJ24">
            <v>0</v>
          </cell>
          <cell r="AK24">
            <v>222350</v>
          </cell>
          <cell r="AL24">
            <v>103770.89</v>
          </cell>
          <cell r="AM24">
            <v>0</v>
          </cell>
          <cell r="AN24">
            <v>77100.650000000009</v>
          </cell>
        </row>
      </sheetData>
      <sheetData sheetId="14">
        <row r="4">
          <cell r="AI4">
            <v>2780220</v>
          </cell>
          <cell r="AJ4">
            <v>298670</v>
          </cell>
          <cell r="AK4">
            <v>0</v>
          </cell>
          <cell r="AL4">
            <v>859442.95999999985</v>
          </cell>
          <cell r="AM4">
            <v>102112.14</v>
          </cell>
          <cell r="AN4">
            <v>0</v>
          </cell>
        </row>
        <row r="102">
          <cell r="AI102">
            <v>48000</v>
          </cell>
          <cell r="AJ102"/>
          <cell r="AK102"/>
          <cell r="AL102"/>
          <cell r="AM102"/>
          <cell r="AN102"/>
        </row>
        <row r="103">
          <cell r="AI103">
            <v>175000</v>
          </cell>
          <cell r="AJ103">
            <v>0</v>
          </cell>
          <cell r="AK103">
            <v>1075000</v>
          </cell>
          <cell r="AL103">
            <v>45647.5</v>
          </cell>
          <cell r="AM103">
            <v>0</v>
          </cell>
          <cell r="AN103">
            <v>239825.01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defaultRowHeight="15" x14ac:dyDescent="0.25"/>
  <cols>
    <col min="1" max="1" width="67.85546875" style="319" customWidth="1"/>
    <col min="2" max="2" width="24.28515625" style="602" customWidth="1"/>
    <col min="3" max="3" width="24.28515625" style="654" customWidth="1"/>
    <col min="4" max="4" width="16.140625" bestFit="1" customWidth="1"/>
    <col min="5" max="5" width="10.28515625" bestFit="1" customWidth="1"/>
  </cols>
  <sheetData>
    <row r="1" spans="1:11" ht="28.5" customHeight="1" thickBot="1" x14ac:dyDescent="0.45">
      <c r="A1" s="686" t="s">
        <v>654</v>
      </c>
      <c r="B1" s="686"/>
      <c r="C1" s="686"/>
    </row>
    <row r="2" spans="1:11" ht="21" thickBot="1" x14ac:dyDescent="0.35">
      <c r="A2" s="304" t="s">
        <v>404</v>
      </c>
      <c r="B2" s="251" t="s">
        <v>626</v>
      </c>
      <c r="C2" s="368" t="s">
        <v>627</v>
      </c>
    </row>
    <row r="3" spans="1:11" ht="18.75" thickBot="1" x14ac:dyDescent="0.3">
      <c r="A3" s="305" t="s">
        <v>406</v>
      </c>
      <c r="B3" s="306">
        <f t="shared" ref="B3" si="0">B4+B18</f>
        <v>31100980</v>
      </c>
      <c r="C3" s="369">
        <f>C4+C18</f>
        <v>10966803.09</v>
      </c>
      <c r="D3" s="642"/>
    </row>
    <row r="4" spans="1:11" ht="18" x14ac:dyDescent="0.25">
      <c r="A4" s="307" t="s">
        <v>5</v>
      </c>
      <c r="B4" s="308">
        <f t="shared" ref="B4" si="1">B5+B7+B9</f>
        <v>12470000</v>
      </c>
      <c r="C4" s="370">
        <f>C5+C7+C9</f>
        <v>4971537.3499999996</v>
      </c>
      <c r="D4" s="641"/>
    </row>
    <row r="5" spans="1:11" ht="15.75" x14ac:dyDescent="0.25">
      <c r="A5" s="309" t="s">
        <v>6</v>
      </c>
      <c r="B5" s="262">
        <f t="shared" ref="B5" si="2">SUM(B6)</f>
        <v>8620000</v>
      </c>
      <c r="C5" s="371">
        <f>SUM(C6)</f>
        <v>3393330.76</v>
      </c>
      <c r="D5" s="600"/>
      <c r="E5" s="601"/>
      <c r="F5" s="601"/>
      <c r="G5" s="601"/>
      <c r="H5" s="601"/>
      <c r="I5" s="601"/>
      <c r="J5" s="601"/>
      <c r="K5" s="601"/>
    </row>
    <row r="6" spans="1:11" ht="15.75" x14ac:dyDescent="0.25">
      <c r="A6" s="310" t="s">
        <v>7</v>
      </c>
      <c r="B6" s="315">
        <v>8620000</v>
      </c>
      <c r="C6" s="373">
        <v>3393330.76</v>
      </c>
    </row>
    <row r="7" spans="1:11" ht="15.75" x14ac:dyDescent="0.25">
      <c r="A7" s="311" t="s">
        <v>8</v>
      </c>
      <c r="B7" s="262">
        <f t="shared" ref="B7" si="3">SUM(B8)</f>
        <v>1900000</v>
      </c>
      <c r="C7" s="371">
        <f>SUM(C8)</f>
        <v>780900.71</v>
      </c>
    </row>
    <row r="8" spans="1:11" ht="15.75" x14ac:dyDescent="0.25">
      <c r="A8" s="312" t="s">
        <v>9</v>
      </c>
      <c r="B8" s="315">
        <v>1900000</v>
      </c>
      <c r="C8" s="373">
        <v>780900.71</v>
      </c>
      <c r="D8" s="605"/>
    </row>
    <row r="9" spans="1:11" ht="15.75" x14ac:dyDescent="0.25">
      <c r="A9" s="311" t="s">
        <v>10</v>
      </c>
      <c r="B9" s="262">
        <f t="shared" ref="B9" si="4">SUM(B10:B17)</f>
        <v>1950000</v>
      </c>
      <c r="C9" s="371">
        <f>SUM(C10:C17)</f>
        <v>797305.88</v>
      </c>
    </row>
    <row r="10" spans="1:11" ht="15.75" x14ac:dyDescent="0.25">
      <c r="A10" s="313" t="s">
        <v>11</v>
      </c>
      <c r="B10" s="416">
        <v>20000</v>
      </c>
      <c r="C10" s="652">
        <v>8427.0499999999993</v>
      </c>
      <c r="D10" s="604"/>
    </row>
    <row r="11" spans="1:11" ht="15.75" x14ac:dyDescent="0.25">
      <c r="A11" s="313" t="s">
        <v>622</v>
      </c>
      <c r="B11" s="416">
        <v>5000</v>
      </c>
      <c r="C11" s="652">
        <v>1300</v>
      </c>
    </row>
    <row r="12" spans="1:11" ht="15.75" x14ac:dyDescent="0.25">
      <c r="A12" s="313" t="s">
        <v>428</v>
      </c>
      <c r="B12" s="416">
        <v>30000</v>
      </c>
      <c r="C12" s="652">
        <v>12498</v>
      </c>
      <c r="D12" s="604"/>
    </row>
    <row r="13" spans="1:11" ht="15.75" x14ac:dyDescent="0.25">
      <c r="A13" s="313" t="s">
        <v>12</v>
      </c>
      <c r="B13" s="416">
        <v>195000</v>
      </c>
      <c r="C13" s="652">
        <v>97815.11</v>
      </c>
      <c r="D13" s="604"/>
    </row>
    <row r="14" spans="1:11" ht="15.75" x14ac:dyDescent="0.25">
      <c r="A14" s="313" t="s">
        <v>13</v>
      </c>
      <c r="B14" s="416">
        <v>20000</v>
      </c>
      <c r="C14" s="652">
        <v>2353.75</v>
      </c>
      <c r="D14" s="604"/>
    </row>
    <row r="15" spans="1:11" ht="15.75" x14ac:dyDescent="0.25">
      <c r="A15" s="313" t="s">
        <v>14</v>
      </c>
      <c r="B15" s="416">
        <v>1050000</v>
      </c>
      <c r="C15" s="652">
        <v>379595.69</v>
      </c>
      <c r="D15" s="604"/>
    </row>
    <row r="16" spans="1:11" ht="15.75" x14ac:dyDescent="0.25">
      <c r="A16" s="313" t="s">
        <v>15</v>
      </c>
      <c r="B16" s="263">
        <v>550000</v>
      </c>
      <c r="C16" s="374">
        <v>266128.23</v>
      </c>
      <c r="D16" s="604"/>
    </row>
    <row r="17" spans="1:4" ht="15.75" x14ac:dyDescent="0.25">
      <c r="A17" s="313" t="s">
        <v>551</v>
      </c>
      <c r="B17" s="417">
        <v>80000</v>
      </c>
      <c r="C17" s="653">
        <v>29188.05</v>
      </c>
      <c r="D17" s="604"/>
    </row>
    <row r="18" spans="1:4" s="353" customFormat="1" ht="18.75" x14ac:dyDescent="0.3">
      <c r="A18" s="314" t="s">
        <v>16</v>
      </c>
      <c r="B18" s="354">
        <f>B19+B30+B52+B60</f>
        <v>18630980</v>
      </c>
      <c r="C18" s="372">
        <f>C19+C30+C52+C60</f>
        <v>5995265.7399999993</v>
      </c>
      <c r="D18" s="655"/>
    </row>
    <row r="19" spans="1:4" ht="15.75" x14ac:dyDescent="0.25">
      <c r="A19" s="309" t="s">
        <v>17</v>
      </c>
      <c r="B19" s="262">
        <f>SUM(B20:B29)</f>
        <v>1145500</v>
      </c>
      <c r="C19" s="371">
        <f>SUM(C20:C29)</f>
        <v>311267.71999999997</v>
      </c>
    </row>
    <row r="20" spans="1:4" ht="15.75" x14ac:dyDescent="0.25">
      <c r="A20" s="310" t="s">
        <v>18</v>
      </c>
      <c r="B20" s="263">
        <v>100000</v>
      </c>
      <c r="C20" s="374">
        <v>6642.79</v>
      </c>
    </row>
    <row r="21" spans="1:4" ht="15.75" x14ac:dyDescent="0.25">
      <c r="A21" s="310" t="s">
        <v>411</v>
      </c>
      <c r="B21" s="263">
        <v>30000</v>
      </c>
      <c r="C21" s="374">
        <v>4404</v>
      </c>
    </row>
    <row r="22" spans="1:4" ht="15.75" x14ac:dyDescent="0.25">
      <c r="A22" s="310" t="s">
        <v>19</v>
      </c>
      <c r="B22" s="263">
        <v>10000</v>
      </c>
      <c r="C22" s="374">
        <v>2745.06</v>
      </c>
    </row>
    <row r="23" spans="1:4" ht="15.75" x14ac:dyDescent="0.25">
      <c r="A23" s="310" t="s">
        <v>535</v>
      </c>
      <c r="B23" s="263">
        <v>850000</v>
      </c>
      <c r="C23" s="374">
        <v>242798.82</v>
      </c>
    </row>
    <row r="24" spans="1:4" ht="15.75" x14ac:dyDescent="0.25">
      <c r="A24" s="310" t="s">
        <v>22</v>
      </c>
      <c r="B24" s="263">
        <v>30000</v>
      </c>
      <c r="C24" s="374">
        <v>8853.09</v>
      </c>
    </row>
    <row r="25" spans="1:4" ht="15.75" x14ac:dyDescent="0.25">
      <c r="A25" s="310" t="s">
        <v>23</v>
      </c>
      <c r="B25" s="263">
        <v>10000</v>
      </c>
      <c r="C25" s="374">
        <v>3051.67</v>
      </c>
    </row>
    <row r="26" spans="1:4" ht="15.75" x14ac:dyDescent="0.25">
      <c r="A26" s="310" t="s">
        <v>24</v>
      </c>
      <c r="B26" s="263">
        <v>5500</v>
      </c>
      <c r="C26" s="374">
        <v>2054.2399999999998</v>
      </c>
    </row>
    <row r="27" spans="1:4" ht="15.75" x14ac:dyDescent="0.25">
      <c r="A27" s="310" t="s">
        <v>25</v>
      </c>
      <c r="B27" s="263">
        <v>25000</v>
      </c>
      <c r="C27" s="374">
        <v>10867.5</v>
      </c>
    </row>
    <row r="28" spans="1:4" ht="15.75" x14ac:dyDescent="0.25">
      <c r="A28" s="310" t="s">
        <v>26</v>
      </c>
      <c r="B28" s="263">
        <v>55000</v>
      </c>
      <c r="C28" s="374">
        <v>16612.45</v>
      </c>
    </row>
    <row r="29" spans="1:4" ht="15.75" x14ac:dyDescent="0.25">
      <c r="A29" s="312" t="s">
        <v>28</v>
      </c>
      <c r="B29" s="315">
        <v>30000</v>
      </c>
      <c r="C29" s="373">
        <v>13238.1</v>
      </c>
    </row>
    <row r="30" spans="1:4" s="345" customFormat="1" ht="15.75" x14ac:dyDescent="0.25">
      <c r="A30" s="309" t="s">
        <v>29</v>
      </c>
      <c r="B30" s="262">
        <f>SUM(B31:B51)</f>
        <v>2671500</v>
      </c>
      <c r="C30" s="371">
        <f>SUM(C31:C51)</f>
        <v>893171.12999999989</v>
      </c>
    </row>
    <row r="31" spans="1:4" ht="15.75" x14ac:dyDescent="0.25">
      <c r="A31" s="310" t="s">
        <v>30</v>
      </c>
      <c r="B31" s="263">
        <v>500</v>
      </c>
      <c r="C31" s="374"/>
    </row>
    <row r="32" spans="1:4" ht="15.75" x14ac:dyDescent="0.25">
      <c r="A32" s="310" t="s">
        <v>31</v>
      </c>
      <c r="B32" s="263">
        <v>53000</v>
      </c>
      <c r="C32" s="374">
        <v>10355</v>
      </c>
    </row>
    <row r="33" spans="1:3" ht="15.75" x14ac:dyDescent="0.25">
      <c r="A33" s="310" t="s">
        <v>32</v>
      </c>
      <c r="B33" s="263">
        <v>7000</v>
      </c>
      <c r="C33" s="374">
        <v>1864.5</v>
      </c>
    </row>
    <row r="34" spans="1:3" ht="15.75" x14ac:dyDescent="0.25">
      <c r="A34" s="310" t="s">
        <v>531</v>
      </c>
      <c r="B34" s="263">
        <v>1500</v>
      </c>
      <c r="C34" s="374">
        <v>553</v>
      </c>
    </row>
    <row r="35" spans="1:3" ht="15.75" x14ac:dyDescent="0.25">
      <c r="A35" s="310" t="s">
        <v>34</v>
      </c>
      <c r="B35" s="263">
        <v>1000</v>
      </c>
      <c r="C35" s="374">
        <v>355</v>
      </c>
    </row>
    <row r="36" spans="1:3" ht="15.75" x14ac:dyDescent="0.25">
      <c r="A36" s="310" t="s">
        <v>35</v>
      </c>
      <c r="B36" s="263">
        <v>32000</v>
      </c>
      <c r="C36" s="374">
        <v>8658</v>
      </c>
    </row>
    <row r="37" spans="1:3" ht="15.75" x14ac:dyDescent="0.25">
      <c r="A37" s="310" t="s">
        <v>582</v>
      </c>
      <c r="B37" s="263">
        <v>70000</v>
      </c>
      <c r="C37" s="374">
        <v>19835.22</v>
      </c>
    </row>
    <row r="38" spans="1:3" ht="15.75" x14ac:dyDescent="0.25">
      <c r="A38" s="310" t="s">
        <v>425</v>
      </c>
      <c r="B38" s="263">
        <v>6000</v>
      </c>
      <c r="C38" s="374">
        <v>170.04</v>
      </c>
    </row>
    <row r="39" spans="1:3" ht="15.75" x14ac:dyDescent="0.25">
      <c r="A39" s="310" t="s">
        <v>38</v>
      </c>
      <c r="B39" s="263">
        <v>22500</v>
      </c>
      <c r="C39" s="374">
        <v>5774</v>
      </c>
    </row>
    <row r="40" spans="1:3" ht="15.75" x14ac:dyDescent="0.25">
      <c r="A40" s="310" t="s">
        <v>39</v>
      </c>
      <c r="B40" s="263">
        <v>5000</v>
      </c>
      <c r="C40" s="374">
        <v>2029.5</v>
      </c>
    </row>
    <row r="41" spans="1:3" ht="15.75" x14ac:dyDescent="0.25">
      <c r="A41" s="316" t="s">
        <v>41</v>
      </c>
      <c r="B41" s="263">
        <v>16000</v>
      </c>
      <c r="C41" s="374">
        <v>8244.2199999999993</v>
      </c>
    </row>
    <row r="42" spans="1:3" ht="15.75" x14ac:dyDescent="0.25">
      <c r="A42" s="310" t="s">
        <v>44</v>
      </c>
      <c r="B42" s="263">
        <v>80000</v>
      </c>
      <c r="C42" s="374">
        <v>38977.68</v>
      </c>
    </row>
    <row r="43" spans="1:3" ht="15.75" x14ac:dyDescent="0.25">
      <c r="A43" s="310" t="s">
        <v>45</v>
      </c>
      <c r="B43" s="263">
        <v>90000</v>
      </c>
      <c r="C43" s="374">
        <v>25254.46</v>
      </c>
    </row>
    <row r="44" spans="1:3" ht="15.75" x14ac:dyDescent="0.25">
      <c r="A44" s="310" t="s">
        <v>451</v>
      </c>
      <c r="B44" s="263">
        <v>24000</v>
      </c>
      <c r="C44" s="374">
        <v>10323.65</v>
      </c>
    </row>
    <row r="45" spans="1:3" ht="15.75" x14ac:dyDescent="0.25">
      <c r="A45" s="310" t="s">
        <v>427</v>
      </c>
      <c r="B45" s="263">
        <v>11000</v>
      </c>
      <c r="C45" s="374">
        <v>175</v>
      </c>
    </row>
    <row r="46" spans="1:3" ht="15.75" x14ac:dyDescent="0.25">
      <c r="A46" s="310" t="s">
        <v>51</v>
      </c>
      <c r="B46" s="263">
        <v>60000</v>
      </c>
      <c r="C46" s="374">
        <v>45624.2</v>
      </c>
    </row>
    <row r="47" spans="1:3" ht="15.75" x14ac:dyDescent="0.25">
      <c r="A47" s="310" t="s">
        <v>429</v>
      </c>
      <c r="B47" s="263">
        <v>570000</v>
      </c>
      <c r="C47" s="374">
        <v>179684.97</v>
      </c>
    </row>
    <row r="48" spans="1:3" ht="15.75" x14ac:dyDescent="0.25">
      <c r="A48" s="310" t="s">
        <v>575</v>
      </c>
      <c r="B48" s="263">
        <v>260000</v>
      </c>
      <c r="C48" s="678">
        <v>78485.03</v>
      </c>
    </row>
    <row r="49" spans="1:5" ht="15.75" x14ac:dyDescent="0.25">
      <c r="A49" s="310" t="s">
        <v>434</v>
      </c>
      <c r="B49" s="263">
        <v>10000</v>
      </c>
      <c r="C49" s="374">
        <v>1209</v>
      </c>
    </row>
    <row r="50" spans="1:5" s="466" customFormat="1" ht="15.75" x14ac:dyDescent="0.25">
      <c r="A50" s="313" t="s">
        <v>584</v>
      </c>
      <c r="B50" s="263">
        <f>763430+36570+2000</f>
        <v>802000</v>
      </c>
      <c r="C50" s="374">
        <v>322458.36</v>
      </c>
      <c r="D50" s="531"/>
      <c r="E50" s="531"/>
    </row>
    <row r="51" spans="1:5" s="466" customFormat="1" ht="15.75" x14ac:dyDescent="0.25">
      <c r="A51" s="313" t="s">
        <v>456</v>
      </c>
      <c r="B51" s="263">
        <v>550000</v>
      </c>
      <c r="C51" s="678">
        <v>133140.29999999999</v>
      </c>
      <c r="D51" s="531"/>
      <c r="E51" s="531"/>
    </row>
    <row r="52" spans="1:5" s="466" customFormat="1" ht="15.75" x14ac:dyDescent="0.25">
      <c r="A52" s="311" t="s">
        <v>573</v>
      </c>
      <c r="B52" s="262">
        <f>SUM(B53:B59)</f>
        <v>277500</v>
      </c>
      <c r="C52" s="371">
        <f>SUM(C53:C59)</f>
        <v>142098.66000000003</v>
      </c>
    </row>
    <row r="53" spans="1:5" s="466" customFormat="1" ht="15.75" x14ac:dyDescent="0.25">
      <c r="A53" s="313" t="s">
        <v>433</v>
      </c>
      <c r="B53" s="263">
        <v>80000</v>
      </c>
      <c r="C53" s="374">
        <v>44007.83</v>
      </c>
    </row>
    <row r="54" spans="1:5" s="466" customFormat="1" ht="15.75" x14ac:dyDescent="0.25">
      <c r="A54" s="313" t="s">
        <v>532</v>
      </c>
      <c r="B54" s="263">
        <v>10000</v>
      </c>
      <c r="C54" s="374">
        <v>703.83</v>
      </c>
    </row>
    <row r="55" spans="1:5" s="466" customFormat="1" ht="15.75" x14ac:dyDescent="0.25">
      <c r="A55" s="313" t="s">
        <v>426</v>
      </c>
      <c r="B55" s="263">
        <v>20000</v>
      </c>
      <c r="C55" s="374">
        <v>44123.040000000001</v>
      </c>
    </row>
    <row r="56" spans="1:5" s="466" customFormat="1" ht="15.75" x14ac:dyDescent="0.25">
      <c r="A56" s="313" t="s">
        <v>452</v>
      </c>
      <c r="B56" s="263">
        <v>7000</v>
      </c>
      <c r="C56" s="374">
        <v>7499.21</v>
      </c>
    </row>
    <row r="57" spans="1:5" s="466" customFormat="1" ht="15.75" x14ac:dyDescent="0.25">
      <c r="A57" s="313" t="s">
        <v>607</v>
      </c>
      <c r="B57" s="263">
        <v>140000</v>
      </c>
      <c r="C57" s="374">
        <v>42499.83</v>
      </c>
    </row>
    <row r="58" spans="1:5" s="466" customFormat="1" ht="15.75" x14ac:dyDescent="0.25">
      <c r="A58" s="313" t="s">
        <v>580</v>
      </c>
      <c r="B58" s="263">
        <v>20000</v>
      </c>
      <c r="C58" s="374">
        <v>3188.13</v>
      </c>
      <c r="D58" s="569"/>
    </row>
    <row r="59" spans="1:5" s="466" customFormat="1" ht="15.75" x14ac:dyDescent="0.25">
      <c r="A59" s="313" t="s">
        <v>576</v>
      </c>
      <c r="B59" s="263">
        <v>500</v>
      </c>
      <c r="C59" s="374">
        <v>76.790000000000006</v>
      </c>
    </row>
    <row r="60" spans="1:5" s="571" customFormat="1" ht="15.75" x14ac:dyDescent="0.25">
      <c r="A60" s="343" t="s">
        <v>66</v>
      </c>
      <c r="B60" s="344">
        <f>SUM(B61:B87)</f>
        <v>14536480</v>
      </c>
      <c r="C60" s="375">
        <f>SUM(C61:C87)</f>
        <v>4648728.2299999995</v>
      </c>
    </row>
    <row r="61" spans="1:5" s="466" customFormat="1" ht="15.75" x14ac:dyDescent="0.25">
      <c r="A61" s="313" t="s">
        <v>68</v>
      </c>
      <c r="B61" s="263">
        <v>50000</v>
      </c>
      <c r="C61" s="374">
        <v>13859.06</v>
      </c>
    </row>
    <row r="62" spans="1:5" s="466" customFormat="1" ht="15.75" x14ac:dyDescent="0.25">
      <c r="A62" s="313" t="s">
        <v>528</v>
      </c>
      <c r="B62" s="263">
        <v>2000</v>
      </c>
      <c r="C62" s="374"/>
    </row>
    <row r="63" spans="1:5" s="466" customFormat="1" ht="15.75" x14ac:dyDescent="0.25">
      <c r="A63" s="313" t="s">
        <v>445</v>
      </c>
      <c r="B63" s="263">
        <v>1400</v>
      </c>
      <c r="C63" s="374"/>
    </row>
    <row r="64" spans="1:5" s="466" customFormat="1" ht="15.75" x14ac:dyDescent="0.25">
      <c r="A64" s="499" t="s">
        <v>435</v>
      </c>
      <c r="B64" s="263">
        <v>65000</v>
      </c>
      <c r="C64" s="374">
        <v>12708.29</v>
      </c>
    </row>
    <row r="65" spans="1:3" s="466" customFormat="1" ht="15.75" x14ac:dyDescent="0.25">
      <c r="A65" s="499" t="s">
        <v>601</v>
      </c>
      <c r="B65" s="263"/>
      <c r="C65" s="374">
        <v>5257.3</v>
      </c>
    </row>
    <row r="66" spans="1:3" s="466" customFormat="1" ht="15.75" x14ac:dyDescent="0.25">
      <c r="A66" s="499" t="s">
        <v>553</v>
      </c>
      <c r="B66" s="263">
        <v>1000</v>
      </c>
      <c r="C66" s="374"/>
    </row>
    <row r="67" spans="1:3" s="466" customFormat="1" ht="15.75" x14ac:dyDescent="0.25">
      <c r="A67" s="313" t="s">
        <v>554</v>
      </c>
      <c r="B67" s="263">
        <v>10000</v>
      </c>
      <c r="C67" s="374">
        <v>2580</v>
      </c>
    </row>
    <row r="68" spans="1:3" s="466" customFormat="1" ht="15.75" x14ac:dyDescent="0.25">
      <c r="A68" s="313" t="s">
        <v>555</v>
      </c>
      <c r="B68" s="263">
        <v>402080</v>
      </c>
      <c r="C68" s="374">
        <v>132183.67000000001</v>
      </c>
    </row>
    <row r="69" spans="1:3" s="466" customFormat="1" ht="15.75" x14ac:dyDescent="0.25">
      <c r="A69" s="313" t="s">
        <v>556</v>
      </c>
      <c r="B69" s="263">
        <v>735000</v>
      </c>
      <c r="C69" s="374">
        <v>180966.58</v>
      </c>
    </row>
    <row r="70" spans="1:3" s="466" customFormat="1" ht="15.75" x14ac:dyDescent="0.25">
      <c r="A70" s="313" t="s">
        <v>557</v>
      </c>
      <c r="B70" s="263">
        <v>23000</v>
      </c>
      <c r="C70" s="374">
        <v>22071.88</v>
      </c>
    </row>
    <row r="71" spans="1:3" s="466" customFormat="1" ht="15.75" x14ac:dyDescent="0.25">
      <c r="A71" s="499" t="s">
        <v>558</v>
      </c>
      <c r="B71" s="263">
        <v>10100000</v>
      </c>
      <c r="C71" s="374">
        <v>3227019</v>
      </c>
    </row>
    <row r="72" spans="1:3" s="466" customFormat="1" ht="15.75" x14ac:dyDescent="0.25">
      <c r="A72" s="499" t="s">
        <v>559</v>
      </c>
      <c r="B72" s="263">
        <v>35000</v>
      </c>
      <c r="C72" s="374"/>
    </row>
    <row r="73" spans="1:3" s="466" customFormat="1" ht="15.75" x14ac:dyDescent="0.25">
      <c r="A73" s="499" t="s">
        <v>560</v>
      </c>
      <c r="B73" s="263">
        <v>0</v>
      </c>
      <c r="C73" s="374"/>
    </row>
    <row r="74" spans="1:3" s="466" customFormat="1" ht="15.75" x14ac:dyDescent="0.25">
      <c r="A74" s="499" t="s">
        <v>561</v>
      </c>
      <c r="B74" s="263">
        <v>1000</v>
      </c>
      <c r="C74" s="374"/>
    </row>
    <row r="75" spans="1:3" s="466" customFormat="1" ht="15.75" x14ac:dyDescent="0.25">
      <c r="A75" s="499" t="s">
        <v>562</v>
      </c>
      <c r="B75" s="263">
        <v>2700</v>
      </c>
      <c r="C75" s="374">
        <v>2813.77</v>
      </c>
    </row>
    <row r="76" spans="1:3" s="466" customFormat="1" ht="15.75" x14ac:dyDescent="0.25">
      <c r="A76" s="499" t="s">
        <v>563</v>
      </c>
      <c r="B76" s="263">
        <v>7500</v>
      </c>
      <c r="C76" s="374">
        <f>171.6+6578.22</f>
        <v>6749.8200000000006</v>
      </c>
    </row>
    <row r="77" spans="1:3" s="466" customFormat="1" ht="15.75" x14ac:dyDescent="0.25">
      <c r="A77" s="499" t="s">
        <v>564</v>
      </c>
      <c r="B77" s="263">
        <v>70000</v>
      </c>
      <c r="C77" s="374">
        <v>21644</v>
      </c>
    </row>
    <row r="78" spans="1:3" s="466" customFormat="1" ht="15.75" x14ac:dyDescent="0.25">
      <c r="A78" s="499" t="s">
        <v>565</v>
      </c>
      <c r="B78" s="263">
        <v>2200000</v>
      </c>
      <c r="C78" s="374">
        <v>955053</v>
      </c>
    </row>
    <row r="79" spans="1:3" s="466" customFormat="1" ht="15.75" x14ac:dyDescent="0.25">
      <c r="A79" s="499" t="s">
        <v>577</v>
      </c>
      <c r="B79" s="263">
        <v>361800</v>
      </c>
      <c r="C79" s="374">
        <v>40772.97</v>
      </c>
    </row>
    <row r="80" spans="1:3" s="466" customFormat="1" ht="15.75" x14ac:dyDescent="0.25">
      <c r="A80" s="499" t="s">
        <v>572</v>
      </c>
      <c r="B80" s="263">
        <v>5000</v>
      </c>
      <c r="C80" s="374"/>
    </row>
    <row r="81" spans="1:3" s="466" customFormat="1" ht="15.75" x14ac:dyDescent="0.25">
      <c r="A81" s="499" t="s">
        <v>598</v>
      </c>
      <c r="B81" s="263">
        <v>110000</v>
      </c>
      <c r="C81" s="374">
        <v>24970</v>
      </c>
    </row>
    <row r="82" spans="1:3" s="466" customFormat="1" ht="15.75" x14ac:dyDescent="0.25">
      <c r="A82" s="499" t="s">
        <v>633</v>
      </c>
      <c r="B82" s="263">
        <v>220000</v>
      </c>
      <c r="C82" s="374"/>
    </row>
    <row r="83" spans="1:3" s="466" customFormat="1" ht="15.75" x14ac:dyDescent="0.25">
      <c r="A83" s="499" t="s">
        <v>662</v>
      </c>
      <c r="B83" s="263">
        <v>9000</v>
      </c>
      <c r="C83" s="374"/>
    </row>
    <row r="84" spans="1:3" s="466" customFormat="1" ht="15" customHeight="1" x14ac:dyDescent="0.25">
      <c r="A84" s="499" t="s">
        <v>566</v>
      </c>
      <c r="B84" s="263">
        <v>25000</v>
      </c>
      <c r="C84" s="374"/>
    </row>
    <row r="85" spans="1:3" s="466" customFormat="1" ht="15.75" x14ac:dyDescent="0.25">
      <c r="A85" s="499" t="s">
        <v>578</v>
      </c>
      <c r="B85" s="263">
        <v>35000</v>
      </c>
      <c r="C85" s="374"/>
    </row>
    <row r="86" spans="1:3" s="466" customFormat="1" ht="15.75" x14ac:dyDescent="0.25">
      <c r="A86" s="499" t="s">
        <v>567</v>
      </c>
      <c r="B86" s="263">
        <v>55000</v>
      </c>
      <c r="C86" s="374"/>
    </row>
    <row r="87" spans="1:3" s="466" customFormat="1" ht="16.5" thickBot="1" x14ac:dyDescent="0.3">
      <c r="A87" s="499" t="s">
        <v>568</v>
      </c>
      <c r="B87" s="263">
        <v>10000</v>
      </c>
      <c r="C87" s="374">
        <v>78.89</v>
      </c>
    </row>
    <row r="88" spans="1:3" s="466" customFormat="1" ht="18.75" thickBot="1" x14ac:dyDescent="0.3">
      <c r="A88" s="317" t="s">
        <v>407</v>
      </c>
      <c r="B88" s="318">
        <f t="shared" ref="B88:C88" si="5">B89+B93</f>
        <v>5158200</v>
      </c>
      <c r="C88" s="376">
        <f t="shared" si="5"/>
        <v>1685747.81</v>
      </c>
    </row>
    <row r="89" spans="1:3" s="466" customFormat="1" ht="18.75" thickBot="1" x14ac:dyDescent="0.3">
      <c r="A89" s="338" t="s">
        <v>111</v>
      </c>
      <c r="B89" s="339">
        <f t="shared" ref="B89:C89" si="6">SUM(B90:B92)</f>
        <v>1050000</v>
      </c>
      <c r="C89" s="377">
        <f t="shared" si="6"/>
        <v>77517.98000000001</v>
      </c>
    </row>
    <row r="90" spans="1:3" s="466" customFormat="1" ht="15.75" x14ac:dyDescent="0.25">
      <c r="A90" s="572" t="s">
        <v>536</v>
      </c>
      <c r="B90" s="342">
        <f>200000+150000</f>
        <v>350000</v>
      </c>
      <c r="C90" s="378">
        <v>69206.990000000005</v>
      </c>
    </row>
    <row r="91" spans="1:3" s="466" customFormat="1" ht="15.75" x14ac:dyDescent="0.25">
      <c r="A91" s="572" t="s">
        <v>114</v>
      </c>
      <c r="B91" s="342"/>
      <c r="C91" s="378"/>
    </row>
    <row r="92" spans="1:3" ht="16.5" thickBot="1" x14ac:dyDescent="0.3">
      <c r="A92" s="340" t="s">
        <v>115</v>
      </c>
      <c r="B92" s="341">
        <f>600000+100000</f>
        <v>700000</v>
      </c>
      <c r="C92" s="379">
        <v>8310.99</v>
      </c>
    </row>
    <row r="93" spans="1:3" ht="18.75" thickBot="1" x14ac:dyDescent="0.3">
      <c r="A93" s="320" t="s">
        <v>116</v>
      </c>
      <c r="B93" s="321">
        <f>SUM(B94:B101)</f>
        <v>4108200</v>
      </c>
      <c r="C93" s="380">
        <f>SUM(C94:C101)</f>
        <v>1608229.83</v>
      </c>
    </row>
    <row r="94" spans="1:3" ht="15.75" x14ac:dyDescent="0.25">
      <c r="A94" s="310" t="s">
        <v>529</v>
      </c>
      <c r="B94" s="263">
        <v>184000</v>
      </c>
      <c r="C94" s="374">
        <v>183754.82</v>
      </c>
    </row>
    <row r="95" spans="1:3" ht="15.75" x14ac:dyDescent="0.25">
      <c r="A95" s="310" t="s">
        <v>634</v>
      </c>
      <c r="B95" s="263">
        <v>1365000</v>
      </c>
      <c r="C95" s="374">
        <v>976875.94</v>
      </c>
    </row>
    <row r="96" spans="1:3" s="466" customFormat="1" ht="15.75" x14ac:dyDescent="0.25">
      <c r="A96" s="313" t="s">
        <v>581</v>
      </c>
      <c r="B96" s="263">
        <v>41000</v>
      </c>
      <c r="C96" s="374"/>
    </row>
    <row r="97" spans="1:3" s="466" customFormat="1" ht="15.75" x14ac:dyDescent="0.25">
      <c r="A97" s="313" t="s">
        <v>593</v>
      </c>
      <c r="B97" s="263">
        <v>250000</v>
      </c>
      <c r="C97" s="374">
        <v>75104.289999999994</v>
      </c>
    </row>
    <row r="98" spans="1:3" s="466" customFormat="1" ht="15.75" x14ac:dyDescent="0.25">
      <c r="A98" s="313" t="s">
        <v>605</v>
      </c>
      <c r="B98" s="263">
        <v>363200</v>
      </c>
      <c r="C98" s="374"/>
    </row>
    <row r="99" spans="1:3" s="466" customFormat="1" ht="15.75" x14ac:dyDescent="0.25">
      <c r="A99" s="313" t="s">
        <v>635</v>
      </c>
      <c r="B99" s="263">
        <v>400000</v>
      </c>
      <c r="C99" s="374"/>
    </row>
    <row r="100" spans="1:3" s="466" customFormat="1" ht="15.75" x14ac:dyDescent="0.25">
      <c r="A100" s="313" t="s">
        <v>636</v>
      </c>
      <c r="B100" s="263">
        <v>530000</v>
      </c>
      <c r="C100" s="374"/>
    </row>
    <row r="101" spans="1:3" s="466" customFormat="1" ht="16.5" thickBot="1" x14ac:dyDescent="0.3">
      <c r="A101" s="313" t="s">
        <v>637</v>
      </c>
      <c r="B101" s="263">
        <v>975000</v>
      </c>
      <c r="C101" s="374">
        <v>372494.78</v>
      </c>
    </row>
    <row r="102" spans="1:3" ht="18.75" thickBot="1" x14ac:dyDescent="0.3">
      <c r="A102" s="252" t="s">
        <v>398</v>
      </c>
      <c r="B102" s="306">
        <f>SUM(B103:B107)</f>
        <v>4421315</v>
      </c>
      <c r="C102" s="369">
        <f>SUM(C103:C107)</f>
        <v>405492.29000000004</v>
      </c>
    </row>
    <row r="103" spans="1:3" s="466" customFormat="1" ht="15.75" x14ac:dyDescent="0.25">
      <c r="A103" s="313" t="s">
        <v>453</v>
      </c>
      <c r="B103" s="263">
        <v>300000</v>
      </c>
      <c r="C103" s="374"/>
    </row>
    <row r="104" spans="1:3" s="466" customFormat="1" ht="15.75" x14ac:dyDescent="0.25">
      <c r="A104" s="313" t="s">
        <v>454</v>
      </c>
      <c r="B104" s="263">
        <v>471315</v>
      </c>
      <c r="C104" s="374">
        <f>9994.98+107266+92000+85930.5+20698.46</f>
        <v>315889.94</v>
      </c>
    </row>
    <row r="105" spans="1:3" s="466" customFormat="1" ht="15.75" x14ac:dyDescent="0.25">
      <c r="A105" s="313" t="s">
        <v>621</v>
      </c>
      <c r="B105" s="263"/>
      <c r="C105" s="374">
        <v>894.34</v>
      </c>
    </row>
    <row r="106" spans="1:3" s="466" customFormat="1" ht="15.75" x14ac:dyDescent="0.25">
      <c r="A106" s="313" t="s">
        <v>583</v>
      </c>
      <c r="B106" s="263">
        <v>500000</v>
      </c>
      <c r="C106" s="374">
        <v>88708.01</v>
      </c>
    </row>
    <row r="107" spans="1:3" ht="16.5" thickBot="1" x14ac:dyDescent="0.3">
      <c r="A107" s="310" t="s">
        <v>129</v>
      </c>
      <c r="B107" s="418">
        <f>200000+2400000+550000</f>
        <v>3150000</v>
      </c>
      <c r="C107" s="510"/>
    </row>
    <row r="108" spans="1:3" ht="24" thickBot="1" x14ac:dyDescent="0.4">
      <c r="A108" s="322" t="s">
        <v>130</v>
      </c>
      <c r="B108" s="323">
        <f>B102+B88+B3</f>
        <v>40680495</v>
      </c>
      <c r="C108" s="351">
        <f>C102+C88+C3</f>
        <v>13058043.189999999</v>
      </c>
    </row>
    <row r="109" spans="1:3" ht="15.75" x14ac:dyDescent="0.25">
      <c r="A109" s="324"/>
    </row>
  </sheetData>
  <sheetProtection selectLockedCells="1" selectUnlockedCells="1"/>
  <mergeCells count="1">
    <mergeCell ref="A1:C1"/>
  </mergeCells>
  <phoneticPr fontId="0" type="noConversion"/>
  <pageMargins left="1.1811023622047245" right="0" top="0" bottom="0" header="0.51181102362204722" footer="0.51181102362204722"/>
  <pageSetup paperSize="8" scale="48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2"/>
  <sheetViews>
    <sheetView topLeftCell="B1" zoomScale="80" zoomScaleNormal="80" workbookViewId="0">
      <pane xSplit="2" ySplit="7" topLeftCell="D8" activePane="bottomRight" state="frozen"/>
      <selection activeCell="B1" sqref="B1"/>
      <selection pane="topRight" activeCell="T1" sqref="T1"/>
      <selection pane="bottomLeft" activeCell="B163" sqref="B163"/>
      <selection pane="bottomRight" activeCell="B1" sqref="B1:K2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102" bestFit="1" customWidth="1"/>
    <col min="6" max="7" width="14.85546875" style="102" customWidth="1"/>
    <col min="8" max="11" width="14.85546875" style="352" customWidth="1"/>
    <col min="12" max="16384" width="9.140625" style="101"/>
  </cols>
  <sheetData>
    <row r="1" spans="1:11" ht="27.75" customHeight="1" x14ac:dyDescent="0.2">
      <c r="A1" s="121"/>
      <c r="B1" s="687" t="s">
        <v>655</v>
      </c>
      <c r="C1" s="687"/>
      <c r="D1" s="687"/>
      <c r="E1" s="687"/>
      <c r="F1" s="687"/>
      <c r="G1" s="687"/>
      <c r="H1" s="687"/>
      <c r="I1" s="687"/>
      <c r="J1" s="687"/>
      <c r="K1" s="687"/>
    </row>
    <row r="2" spans="1:11" ht="7.5" customHeight="1" thickBot="1" x14ac:dyDescent="0.25">
      <c r="A2" s="121"/>
      <c r="B2" s="687"/>
      <c r="C2" s="687"/>
      <c r="D2" s="687"/>
      <c r="E2" s="687"/>
      <c r="F2" s="687"/>
      <c r="G2" s="687"/>
      <c r="H2" s="687"/>
      <c r="I2" s="687"/>
      <c r="J2" s="687"/>
      <c r="K2" s="687"/>
    </row>
    <row r="3" spans="1:11" ht="13.5" customHeight="1" thickBot="1" x14ac:dyDescent="0.25">
      <c r="A3" s="121"/>
      <c r="D3" s="688" t="s">
        <v>626</v>
      </c>
      <c r="E3" s="689"/>
      <c r="F3" s="689"/>
      <c r="G3" s="696"/>
      <c r="H3" s="698" t="s">
        <v>628</v>
      </c>
      <c r="I3" s="698"/>
      <c r="J3" s="698"/>
      <c r="K3" s="699"/>
    </row>
    <row r="4" spans="1:11" ht="21" customHeight="1" x14ac:dyDescent="0.2">
      <c r="A4" s="121"/>
      <c r="B4" s="692" t="s">
        <v>405</v>
      </c>
      <c r="C4" s="693"/>
      <c r="D4" s="690"/>
      <c r="E4" s="691"/>
      <c r="F4" s="691"/>
      <c r="G4" s="697"/>
      <c r="H4" s="700"/>
      <c r="I4" s="700"/>
      <c r="J4" s="700"/>
      <c r="K4" s="701"/>
    </row>
    <row r="5" spans="1:11" ht="24.75" thickBot="1" x14ac:dyDescent="0.25">
      <c r="A5" s="121"/>
      <c r="B5" s="694"/>
      <c r="C5" s="695"/>
      <c r="D5" s="358" t="s">
        <v>395</v>
      </c>
      <c r="E5" s="360" t="s">
        <v>408</v>
      </c>
      <c r="F5" s="360" t="s">
        <v>409</v>
      </c>
      <c r="G5" s="357" t="s">
        <v>400</v>
      </c>
      <c r="H5" s="537" t="s">
        <v>395</v>
      </c>
      <c r="I5" s="537" t="s">
        <v>408</v>
      </c>
      <c r="J5" s="537" t="s">
        <v>409</v>
      </c>
      <c r="K5" s="538" t="s">
        <v>400</v>
      </c>
    </row>
    <row r="6" spans="1:11" ht="24" customHeight="1" thickBot="1" x14ac:dyDescent="0.3">
      <c r="A6" s="121"/>
      <c r="B6" s="404" t="s">
        <v>147</v>
      </c>
      <c r="C6" s="405"/>
      <c r="D6" s="359">
        <f>D8+D22+D36+D46+D52+D68+D76+D91+D95+D120+D131+D140+D152+D179+D180</f>
        <v>40680495</v>
      </c>
      <c r="E6" s="511">
        <f t="shared" ref="E6:G6" si="0">E8+E22+E36+E46+E52+E68+E76+E91+E95+E120+E131+E140+E152+E179+E180</f>
        <v>31035116</v>
      </c>
      <c r="F6" s="511">
        <f t="shared" si="0"/>
        <v>8332029</v>
      </c>
      <c r="G6" s="403">
        <f t="shared" si="0"/>
        <v>1313350</v>
      </c>
      <c r="H6" s="361">
        <f>H8+H22+H36+H46+H52+H68+H76+H91+H95+H120+H131+H140+H152+H179+H180</f>
        <v>11614332.57</v>
      </c>
      <c r="I6" s="511">
        <f t="shared" ref="I6:K6" si="1">I8+I22+I36+I46+I52+I68+I76+I91+I95+I120+I131+I140+I152+I179+I180</f>
        <v>9565983.6600000001</v>
      </c>
      <c r="J6" s="511">
        <f t="shared" si="1"/>
        <v>1728855.25</v>
      </c>
      <c r="K6" s="403">
        <f t="shared" si="1"/>
        <v>319493.66000000003</v>
      </c>
    </row>
    <row r="7" spans="1:11" ht="13.5" thickBot="1" x14ac:dyDescent="0.25">
      <c r="A7" s="121"/>
      <c r="B7" s="253" t="s">
        <v>148</v>
      </c>
      <c r="C7" s="254"/>
      <c r="D7" s="381"/>
      <c r="E7" s="362"/>
      <c r="F7" s="362"/>
      <c r="G7" s="382"/>
      <c r="H7" s="679"/>
      <c r="I7" s="680"/>
      <c r="J7" s="680"/>
      <c r="K7" s="681"/>
    </row>
    <row r="8" spans="1:11" ht="15.75" x14ac:dyDescent="0.25">
      <c r="A8" s="121"/>
      <c r="B8" s="271" t="s">
        <v>149</v>
      </c>
      <c r="C8" s="272"/>
      <c r="D8" s="267">
        <f t="shared" ref="D8:G8" si="2">D9+D14+D18+D19+D20+D21</f>
        <v>590645</v>
      </c>
      <c r="E8" s="268">
        <f t="shared" si="2"/>
        <v>537945</v>
      </c>
      <c r="F8" s="268">
        <f t="shared" si="2"/>
        <v>52700</v>
      </c>
      <c r="G8" s="355">
        <f t="shared" si="2"/>
        <v>0</v>
      </c>
      <c r="H8" s="267">
        <f t="shared" ref="H8:K8" si="3">H9+H14+H18+H19+H20+H21</f>
        <v>140683.94</v>
      </c>
      <c r="I8" s="268">
        <f t="shared" si="3"/>
        <v>132010.29999999999</v>
      </c>
      <c r="J8" s="268">
        <f t="shared" si="3"/>
        <v>8673.64</v>
      </c>
      <c r="K8" s="355">
        <f t="shared" si="3"/>
        <v>0</v>
      </c>
    </row>
    <row r="9" spans="1:11" ht="15.75" x14ac:dyDescent="0.25">
      <c r="A9" s="121"/>
      <c r="B9" s="273" t="s">
        <v>150</v>
      </c>
      <c r="C9" s="274" t="s">
        <v>151</v>
      </c>
      <c r="D9" s="261">
        <f>SUM(D10:D13)</f>
        <v>354420</v>
      </c>
      <c r="E9" s="259">
        <f t="shared" ref="E9:G9" si="4">SUM(E10:E13)</f>
        <v>354420</v>
      </c>
      <c r="F9" s="259">
        <f t="shared" si="4"/>
        <v>0</v>
      </c>
      <c r="G9" s="356">
        <f t="shared" si="4"/>
        <v>0</v>
      </c>
      <c r="H9" s="261">
        <f>SUM(H10:H13)</f>
        <v>98053.18</v>
      </c>
      <c r="I9" s="259">
        <f t="shared" ref="I9:K9" si="5">SUM(I10:I13)</f>
        <v>98053.18</v>
      </c>
      <c r="J9" s="259">
        <f t="shared" si="5"/>
        <v>0</v>
      </c>
      <c r="K9" s="356">
        <f t="shared" si="5"/>
        <v>0</v>
      </c>
    </row>
    <row r="10" spans="1:11" ht="15.75" x14ac:dyDescent="0.25">
      <c r="A10" s="121"/>
      <c r="B10" s="273">
        <v>1</v>
      </c>
      <c r="C10" s="274" t="s">
        <v>152</v>
      </c>
      <c r="D10" s="261">
        <f>SUM(E10:G10)</f>
        <v>159300</v>
      </c>
      <c r="E10" s="259">
        <f>'[1]1.Plánovanie, manažment a kontr'!$AI$5</f>
        <v>159300</v>
      </c>
      <c r="F10" s="259">
        <f>'[1]1.Plánovanie, manažment a kontr'!$AJ$5</f>
        <v>0</v>
      </c>
      <c r="G10" s="260">
        <f>'[1]1.Plánovanie, manažment a kontr'!$AK$5</f>
        <v>0</v>
      </c>
      <c r="H10" s="261">
        <f>SUM(I10:K10)</f>
        <v>37262.5</v>
      </c>
      <c r="I10" s="259">
        <f>'[1]1.Plánovanie, manažment a kontr'!$AL$5</f>
        <v>37262.5</v>
      </c>
      <c r="J10" s="259">
        <f>'[1]1.Plánovanie, manažment a kontr'!$AM$5</f>
        <v>0</v>
      </c>
      <c r="K10" s="260">
        <f>'[1]1.Plánovanie, manažment a kontr'!$AN$5</f>
        <v>0</v>
      </c>
    </row>
    <row r="11" spans="1:11" ht="15.75" x14ac:dyDescent="0.25">
      <c r="A11" s="122"/>
      <c r="B11" s="273">
        <v>2</v>
      </c>
      <c r="C11" s="274" t="s">
        <v>153</v>
      </c>
      <c r="D11" s="261">
        <f>SUM(E11:G11)</f>
        <v>53150</v>
      </c>
      <c r="E11" s="259">
        <f>'[1]1.Plánovanie, manažment a kontr'!$AI$17</f>
        <v>53150</v>
      </c>
      <c r="F11" s="259">
        <f>'[1]1.Plánovanie, manažment a kontr'!$AJ$17</f>
        <v>0</v>
      </c>
      <c r="G11" s="260">
        <f>'[1]1.Plánovanie, manažment a kontr'!$AK$17</f>
        <v>0</v>
      </c>
      <c r="H11" s="261">
        <f t="shared" ref="H11:H13" si="6">SUM(I11:K11)</f>
        <v>16723.779999999995</v>
      </c>
      <c r="I11" s="259">
        <f>'[1]1.Plánovanie, manažment a kontr'!$AL$17</f>
        <v>16723.779999999995</v>
      </c>
      <c r="J11" s="259">
        <f>'[1]1.Plánovanie, manažment a kontr'!$AM$17</f>
        <v>0</v>
      </c>
      <c r="K11" s="260">
        <f>'[1]1.Plánovanie, manažment a kontr'!$AN$17</f>
        <v>0</v>
      </c>
    </row>
    <row r="12" spans="1:11" ht="15.75" x14ac:dyDescent="0.25">
      <c r="A12" s="122"/>
      <c r="B12" s="273">
        <v>3</v>
      </c>
      <c r="C12" s="274" t="s">
        <v>154</v>
      </c>
      <c r="D12" s="261">
        <f>SUM(E12:G12)</f>
        <v>141970</v>
      </c>
      <c r="E12" s="259">
        <f>'[1]1.Plánovanie, manažment a kontr'!$AI$28</f>
        <v>141970</v>
      </c>
      <c r="F12" s="259">
        <f>'[1]1.Plánovanie, manažment a kontr'!$AJ$28</f>
        <v>0</v>
      </c>
      <c r="G12" s="260">
        <f>'[1]1.Plánovanie, manažment a kontr'!$AK$28</f>
        <v>0</v>
      </c>
      <c r="H12" s="261">
        <f t="shared" si="6"/>
        <v>44066.9</v>
      </c>
      <c r="I12" s="259">
        <f>'[1]1.Plánovanie, manažment a kontr'!$AL$28</f>
        <v>44066.9</v>
      </c>
      <c r="J12" s="259">
        <f>'[1]1.Plánovanie, manažment a kontr'!$AM$28</f>
        <v>0</v>
      </c>
      <c r="K12" s="260">
        <f>'[1]1.Plánovanie, manažment a kontr'!$AN$28</f>
        <v>0</v>
      </c>
    </row>
    <row r="13" spans="1:11" ht="15.75" x14ac:dyDescent="0.25">
      <c r="A13" s="122"/>
      <c r="B13" s="273">
        <v>4</v>
      </c>
      <c r="C13" s="274" t="s">
        <v>155</v>
      </c>
      <c r="D13" s="261">
        <f>SUM(E13:G13)</f>
        <v>0</v>
      </c>
      <c r="E13" s="259">
        <f>'[1]1.Plánovanie, manažment a kontr'!$AI$33</f>
        <v>0</v>
      </c>
      <c r="F13" s="259">
        <f>'[1]1.Plánovanie, manažment a kontr'!$AJ$33</f>
        <v>0</v>
      </c>
      <c r="G13" s="260">
        <f>'[1]1.Plánovanie, manažment a kontr'!$AK$33</f>
        <v>0</v>
      </c>
      <c r="H13" s="261">
        <f t="shared" si="6"/>
        <v>0</v>
      </c>
      <c r="I13" s="259">
        <f>'[1]1.Plánovanie, manažment a kontr'!$AL$33</f>
        <v>0</v>
      </c>
      <c r="J13" s="259">
        <f>'[1]1.Plánovanie, manažment a kontr'!$AM$33</f>
        <v>0</v>
      </c>
      <c r="K13" s="260">
        <f>'[1]1.Plánovanie, manažment a kontr'!$AN$33</f>
        <v>0</v>
      </c>
    </row>
    <row r="14" spans="1:11" ht="15.75" x14ac:dyDescent="0.25">
      <c r="A14" s="122"/>
      <c r="B14" s="273" t="s">
        <v>156</v>
      </c>
      <c r="C14" s="274" t="s">
        <v>157</v>
      </c>
      <c r="D14" s="261">
        <f>SUM(D15:D17)</f>
        <v>103075</v>
      </c>
      <c r="E14" s="259">
        <f t="shared" ref="E14:G14" si="7">SUM(E15:E17)</f>
        <v>50375</v>
      </c>
      <c r="F14" s="259">
        <f t="shared" si="7"/>
        <v>52700</v>
      </c>
      <c r="G14" s="356">
        <f t="shared" si="7"/>
        <v>0</v>
      </c>
      <c r="H14" s="261">
        <f>SUM(H15:H17)</f>
        <v>12084.14</v>
      </c>
      <c r="I14" s="259">
        <f t="shared" ref="I14:K14" si="8">SUM(I15:I17)</f>
        <v>3410.5</v>
      </c>
      <c r="J14" s="259">
        <f t="shared" si="8"/>
        <v>8673.64</v>
      </c>
      <c r="K14" s="356">
        <f t="shared" si="8"/>
        <v>0</v>
      </c>
    </row>
    <row r="15" spans="1:11" ht="15.75" x14ac:dyDescent="0.25">
      <c r="A15" s="122"/>
      <c r="B15" s="273">
        <v>1</v>
      </c>
      <c r="C15" s="274" t="s">
        <v>158</v>
      </c>
      <c r="D15" s="261">
        <f>SUM(E15:G15)</f>
        <v>29875</v>
      </c>
      <c r="E15" s="259">
        <f>'[1]1.Plánovanie, manažment a kontr'!$AI$41</f>
        <v>29875</v>
      </c>
      <c r="F15" s="259">
        <f>'[1]1.Plánovanie, manažment a kontr'!$AJ$41</f>
        <v>0</v>
      </c>
      <c r="G15" s="260">
        <f>'[1]1.Plánovanie, manažment a kontr'!$AK$41</f>
        <v>0</v>
      </c>
      <c r="H15" s="261">
        <f>SUM(I15:K15)</f>
        <v>3120.5</v>
      </c>
      <c r="I15" s="259">
        <f>'[1]1.Plánovanie, manažment a kontr'!$AL$41</f>
        <v>3120.5</v>
      </c>
      <c r="J15" s="259">
        <f>'[1]1.Plánovanie, manažment a kontr'!$AM$41</f>
        <v>0</v>
      </c>
      <c r="K15" s="260">
        <f>'[1]1.Plánovanie, manažment a kontr'!$AN$41</f>
        <v>0</v>
      </c>
    </row>
    <row r="16" spans="1:11" ht="15.75" x14ac:dyDescent="0.25">
      <c r="A16" s="122"/>
      <c r="B16" s="273">
        <v>2</v>
      </c>
      <c r="C16" s="274" t="s">
        <v>159</v>
      </c>
      <c r="D16" s="261">
        <f t="shared" ref="D16:D21" si="9">SUM(E16:G16)</f>
        <v>10000</v>
      </c>
      <c r="E16" s="259">
        <f>'[1]1.Plánovanie, manažment a kontr'!$AI$58</f>
        <v>10000</v>
      </c>
      <c r="F16" s="259">
        <f>'[1]1.Plánovanie, manažment a kontr'!$AJ$58</f>
        <v>0</v>
      </c>
      <c r="G16" s="260">
        <f>'[1]1.Plánovanie, manažment a kontr'!$AK$58</f>
        <v>0</v>
      </c>
      <c r="H16" s="261">
        <f t="shared" ref="H16:H21" si="10">SUM(I16:K16)</f>
        <v>290</v>
      </c>
      <c r="I16" s="259">
        <f>'[1]1.Plánovanie, manažment a kontr'!$AL$58</f>
        <v>290</v>
      </c>
      <c r="J16" s="259">
        <f>'[1]1.Plánovanie, manažment a kontr'!$AM$58</f>
        <v>0</v>
      </c>
      <c r="K16" s="260">
        <f>'[1]1.Plánovanie, manažment a kontr'!$AN$58</f>
        <v>0</v>
      </c>
    </row>
    <row r="17" spans="1:11" ht="15.75" x14ac:dyDescent="0.25">
      <c r="A17" s="122"/>
      <c r="B17" s="273">
        <v>3</v>
      </c>
      <c r="C17" s="274" t="s">
        <v>160</v>
      </c>
      <c r="D17" s="261">
        <f t="shared" si="9"/>
        <v>63200</v>
      </c>
      <c r="E17" s="259">
        <f>'[1]1.Plánovanie, manažment a kontr'!$AI$62</f>
        <v>10500</v>
      </c>
      <c r="F17" s="259">
        <f>'[1]1.Plánovanie, manažment a kontr'!$AJ$62</f>
        <v>52700</v>
      </c>
      <c r="G17" s="260">
        <f>'[1]1.Plánovanie, manažment a kontr'!$AK$62</f>
        <v>0</v>
      </c>
      <c r="H17" s="261">
        <f t="shared" si="10"/>
        <v>8673.64</v>
      </c>
      <c r="I17" s="259">
        <f>'[1]1.Plánovanie, manažment a kontr'!$AL$62</f>
        <v>0</v>
      </c>
      <c r="J17" s="259">
        <f>'[1]1.Plánovanie, manažment a kontr'!$AM$62</f>
        <v>8673.64</v>
      </c>
      <c r="K17" s="260">
        <f>'[1]1.Plánovanie, manažment a kontr'!$AN$62</f>
        <v>0</v>
      </c>
    </row>
    <row r="18" spans="1:11" ht="15.75" x14ac:dyDescent="0.25">
      <c r="A18" s="102"/>
      <c r="B18" s="273" t="s">
        <v>161</v>
      </c>
      <c r="C18" s="274" t="s">
        <v>162</v>
      </c>
      <c r="D18" s="261">
        <f t="shared" si="9"/>
        <v>105800</v>
      </c>
      <c r="E18" s="259">
        <f>'[1]1.Plánovanie, manažment a kontr'!$AI$79</f>
        <v>105800</v>
      </c>
      <c r="F18" s="259">
        <f>'[1]1.Plánovanie, manažment a kontr'!$AJ$79</f>
        <v>0</v>
      </c>
      <c r="G18" s="260">
        <f>'[1]1.Plánovanie, manažment a kontr'!$AK$79</f>
        <v>0</v>
      </c>
      <c r="H18" s="261">
        <f t="shared" si="10"/>
        <v>23214.34</v>
      </c>
      <c r="I18" s="259">
        <f>'[1]1.Plánovanie, manažment a kontr'!$AL$79</f>
        <v>23214.34</v>
      </c>
      <c r="J18" s="259">
        <f>'[1]1.Plánovanie, manažment a kontr'!$AM$79</f>
        <v>0</v>
      </c>
      <c r="K18" s="260">
        <f>'[1]1.Plánovanie, manažment a kontr'!$AN$79</f>
        <v>0</v>
      </c>
    </row>
    <row r="19" spans="1:11" ht="15.75" x14ac:dyDescent="0.25">
      <c r="A19" s="121"/>
      <c r="B19" s="273" t="s">
        <v>163</v>
      </c>
      <c r="C19" s="274" t="s">
        <v>164</v>
      </c>
      <c r="D19" s="261">
        <f t="shared" si="9"/>
        <v>9000</v>
      </c>
      <c r="E19" s="259">
        <f>'[1]1.Plánovanie, manažment a kontr'!$AI$88</f>
        <v>9000</v>
      </c>
      <c r="F19" s="259">
        <f>'[1]1.Plánovanie, manažment a kontr'!$AJ$88</f>
        <v>0</v>
      </c>
      <c r="G19" s="260">
        <f>'[1]1.Plánovanie, manažment a kontr'!$AK$88</f>
        <v>0</v>
      </c>
      <c r="H19" s="261">
        <f t="shared" si="10"/>
        <v>2600</v>
      </c>
      <c r="I19" s="259">
        <f>'[1]1.Plánovanie, manažment a kontr'!$AL$88</f>
        <v>2600</v>
      </c>
      <c r="J19" s="259">
        <f>'[1]1.Plánovanie, manažment a kontr'!$AM$88</f>
        <v>0</v>
      </c>
      <c r="K19" s="260">
        <f>'[1]1.Plánovanie, manažment a kontr'!$AN$88</f>
        <v>0</v>
      </c>
    </row>
    <row r="20" spans="1:11" ht="15.75" x14ac:dyDescent="0.25">
      <c r="A20" s="121"/>
      <c r="B20" s="273" t="s">
        <v>165</v>
      </c>
      <c r="C20" s="274" t="s">
        <v>166</v>
      </c>
      <c r="D20" s="261">
        <f t="shared" si="9"/>
        <v>18350</v>
      </c>
      <c r="E20" s="259">
        <f>'[1]1.Plánovanie, manažment a kontr'!$AI$92</f>
        <v>18350</v>
      </c>
      <c r="F20" s="259">
        <f>'[1]1.Plánovanie, manažment a kontr'!$AJ$92</f>
        <v>0</v>
      </c>
      <c r="G20" s="260">
        <f>'[1]1.Plánovanie, manažment a kontr'!$AK$92</f>
        <v>0</v>
      </c>
      <c r="H20" s="261">
        <f t="shared" si="10"/>
        <v>4732.2800000000007</v>
      </c>
      <c r="I20" s="259">
        <f>'[1]1.Plánovanie, manažment a kontr'!$AL$92</f>
        <v>4732.2800000000007</v>
      </c>
      <c r="J20" s="259">
        <f>'[1]1.Plánovanie, manažment a kontr'!$AM$92</f>
        <v>0</v>
      </c>
      <c r="K20" s="260">
        <f>'[1]1.Plánovanie, manažment a kontr'!$AN$92</f>
        <v>0</v>
      </c>
    </row>
    <row r="21" spans="1:11" ht="16.5" outlineLevel="1" thickBot="1" x14ac:dyDescent="0.3">
      <c r="A21" s="121"/>
      <c r="B21" s="275" t="s">
        <v>167</v>
      </c>
      <c r="C21" s="276" t="s">
        <v>431</v>
      </c>
      <c r="D21" s="269">
        <f t="shared" si="9"/>
        <v>0</v>
      </c>
      <c r="E21" s="270">
        <f>'[1]1.Plánovanie, manažment a kontr'!$AI$95</f>
        <v>0</v>
      </c>
      <c r="F21" s="270">
        <f>'[1]1.Plánovanie, manažment a kontr'!$AJ$95</f>
        <v>0</v>
      </c>
      <c r="G21" s="303">
        <f>'[1]1.Plánovanie, manažment a kontr'!$AK$95</f>
        <v>0</v>
      </c>
      <c r="H21" s="264">
        <f t="shared" si="10"/>
        <v>0</v>
      </c>
      <c r="I21" s="265">
        <f>'[1]1.Plánovanie, manažment a kontr'!$AL$95</f>
        <v>0</v>
      </c>
      <c r="J21" s="265">
        <f>'[1]1.Plánovanie, manažment a kontr'!$AM$95</f>
        <v>0</v>
      </c>
      <c r="K21" s="266">
        <f>'[1]1.Plánovanie, manažment a kontr'!$AN$95</f>
        <v>0</v>
      </c>
    </row>
    <row r="22" spans="1:11" s="123" customFormat="1" ht="15.75" x14ac:dyDescent="0.25">
      <c r="A22" s="122"/>
      <c r="B22" s="277" t="s">
        <v>169</v>
      </c>
      <c r="C22" s="278"/>
      <c r="D22" s="267">
        <f t="shared" ref="D22:E22" si="11">D23+D32+D35</f>
        <v>46070</v>
      </c>
      <c r="E22" s="268">
        <f t="shared" si="11"/>
        <v>46070</v>
      </c>
      <c r="F22" s="268">
        <f>F23+F32+F35</f>
        <v>0</v>
      </c>
      <c r="G22" s="355">
        <f t="shared" ref="G22:I22" si="12">G23+G32+G35</f>
        <v>0</v>
      </c>
      <c r="H22" s="267">
        <f t="shared" si="12"/>
        <v>954.18</v>
      </c>
      <c r="I22" s="268">
        <f t="shared" si="12"/>
        <v>954.18</v>
      </c>
      <c r="J22" s="268">
        <f>J23+J32+J35</f>
        <v>0</v>
      </c>
      <c r="K22" s="355">
        <f t="shared" ref="K22" si="13">K23+K32+K35</f>
        <v>0</v>
      </c>
    </row>
    <row r="23" spans="1:11" ht="15.75" x14ac:dyDescent="0.25">
      <c r="A23" s="121"/>
      <c r="B23" s="273" t="s">
        <v>170</v>
      </c>
      <c r="C23" s="274" t="s">
        <v>171</v>
      </c>
      <c r="D23" s="261">
        <f t="shared" ref="D23:F23" si="14">SUM(D24:D31)</f>
        <v>15870</v>
      </c>
      <c r="E23" s="259">
        <f t="shared" si="14"/>
        <v>15870</v>
      </c>
      <c r="F23" s="259">
        <f t="shared" si="14"/>
        <v>0</v>
      </c>
      <c r="G23" s="356">
        <f>SUM(G24:G31)</f>
        <v>0</v>
      </c>
      <c r="H23" s="261">
        <f t="shared" ref="H23:J23" si="15">SUM(H24:H31)</f>
        <v>954.18</v>
      </c>
      <c r="I23" s="259">
        <f t="shared" si="15"/>
        <v>954.18</v>
      </c>
      <c r="J23" s="259">
        <f t="shared" si="15"/>
        <v>0</v>
      </c>
      <c r="K23" s="356">
        <f>SUM(K24:K31)</f>
        <v>0</v>
      </c>
    </row>
    <row r="24" spans="1:11" ht="15.75" x14ac:dyDescent="0.25">
      <c r="A24" s="124"/>
      <c r="B24" s="273">
        <v>1</v>
      </c>
      <c r="C24" s="274" t="s">
        <v>172</v>
      </c>
      <c r="D24" s="261">
        <f>SUM(E24:G24)</f>
        <v>820</v>
      </c>
      <c r="E24" s="259">
        <f>'[1]2. Propagácia a marketing'!$AI$5</f>
        <v>820</v>
      </c>
      <c r="F24" s="259">
        <f>'[1]2. Propagácia a marketing'!$AJ$5</f>
        <v>0</v>
      </c>
      <c r="G24" s="260">
        <f>'[1]2. Propagácia a marketing'!$AK$5</f>
        <v>0</v>
      </c>
      <c r="H24" s="261">
        <f>SUM(I24:K24)</f>
        <v>0</v>
      </c>
      <c r="I24" s="259">
        <f>'[1]2. Propagácia a marketing'!$AL$5</f>
        <v>0</v>
      </c>
      <c r="J24" s="259">
        <f>'[1]2. Propagácia a marketing'!$AM$5</f>
        <v>0</v>
      </c>
      <c r="K24" s="260">
        <f>'[1]2. Propagácia a marketing'!$AN$5</f>
        <v>0</v>
      </c>
    </row>
    <row r="25" spans="1:11" ht="15.75" x14ac:dyDescent="0.25">
      <c r="A25" s="121"/>
      <c r="B25" s="273">
        <v>2</v>
      </c>
      <c r="C25" s="279" t="s">
        <v>173</v>
      </c>
      <c r="D25" s="261">
        <f t="shared" ref="D25:D31" si="16">SUM(E25:G25)</f>
        <v>4000</v>
      </c>
      <c r="E25" s="259">
        <f>'[1]2. Propagácia a marketing'!$AI$7</f>
        <v>4000</v>
      </c>
      <c r="F25" s="259">
        <f>'[1]2. Propagácia a marketing'!$AJ$7</f>
        <v>0</v>
      </c>
      <c r="G25" s="260">
        <f>'[1]2. Propagácia a marketing'!$AK$7</f>
        <v>0</v>
      </c>
      <c r="H25" s="261">
        <f t="shared" ref="H25:H31" si="17">SUM(I25:K25)</f>
        <v>0</v>
      </c>
      <c r="I25" s="259">
        <f>'[1]2. Propagácia a marketing'!$AL$7</f>
        <v>0</v>
      </c>
      <c r="J25" s="259">
        <f>'[1]2. Propagácia a marketing'!$AM$7</f>
        <v>0</v>
      </c>
      <c r="K25" s="260">
        <f>'[1]2. Propagácia a marketing'!$AN$7</f>
        <v>0</v>
      </c>
    </row>
    <row r="26" spans="1:11" ht="15.75" x14ac:dyDescent="0.25">
      <c r="A26" s="121"/>
      <c r="B26" s="273">
        <v>3</v>
      </c>
      <c r="C26" s="274" t="s">
        <v>174</v>
      </c>
      <c r="D26" s="261">
        <f t="shared" si="16"/>
        <v>5050</v>
      </c>
      <c r="E26" s="259">
        <f>'[1]2. Propagácia a marketing'!$AI$12</f>
        <v>5050</v>
      </c>
      <c r="F26" s="259">
        <f>'[1]2. Propagácia a marketing'!$AJ$12</f>
        <v>0</v>
      </c>
      <c r="G26" s="260">
        <f>'[1]2. Propagácia a marketing'!$AK$12</f>
        <v>0</v>
      </c>
      <c r="H26" s="261">
        <f t="shared" si="17"/>
        <v>817.4</v>
      </c>
      <c r="I26" s="259">
        <f>'[1]2. Propagácia a marketing'!$AL$12</f>
        <v>817.4</v>
      </c>
      <c r="J26" s="259">
        <f>'[1]2. Propagácia a marketing'!$AM$12</f>
        <v>0</v>
      </c>
      <c r="K26" s="260">
        <f>'[1]2. Propagácia a marketing'!$AN$12</f>
        <v>0</v>
      </c>
    </row>
    <row r="27" spans="1:11" ht="15.75" x14ac:dyDescent="0.25">
      <c r="A27" s="121"/>
      <c r="B27" s="273">
        <v>4</v>
      </c>
      <c r="C27" s="274" t="s">
        <v>175</v>
      </c>
      <c r="D27" s="261">
        <f t="shared" si="16"/>
        <v>0</v>
      </c>
      <c r="E27" s="259">
        <f>'[1]2. Propagácia a marketing'!$AI$20</f>
        <v>0</v>
      </c>
      <c r="F27" s="259">
        <f>'[1]2. Propagácia a marketing'!$AJ$20</f>
        <v>0</v>
      </c>
      <c r="G27" s="260">
        <f>'[1]2. Propagácia a marketing'!$AK$20</f>
        <v>0</v>
      </c>
      <c r="H27" s="261">
        <f t="shared" si="17"/>
        <v>0</v>
      </c>
      <c r="I27" s="259">
        <f>'[1]2. Propagácia a marketing'!$AL$20</f>
        <v>0</v>
      </c>
      <c r="J27" s="259">
        <f>'[1]2. Propagácia a marketing'!$AM$20</f>
        <v>0</v>
      </c>
      <c r="K27" s="260">
        <f>'[1]2. Propagácia a marketing'!$AN$20</f>
        <v>0</v>
      </c>
    </row>
    <row r="28" spans="1:11" ht="15.75" x14ac:dyDescent="0.25">
      <c r="A28" s="121"/>
      <c r="B28" s="273">
        <v>5</v>
      </c>
      <c r="C28" s="274" t="s">
        <v>176</v>
      </c>
      <c r="D28" s="261">
        <f t="shared" si="16"/>
        <v>0</v>
      </c>
      <c r="E28" s="259">
        <f>'[1]2. Propagácia a marketing'!$AI$22</f>
        <v>0</v>
      </c>
      <c r="F28" s="259">
        <f>'[1]2. Propagácia a marketing'!$AJ$22</f>
        <v>0</v>
      </c>
      <c r="G28" s="260">
        <f>'[1]2. Propagácia a marketing'!$AK$22</f>
        <v>0</v>
      </c>
      <c r="H28" s="261">
        <f t="shared" si="17"/>
        <v>0</v>
      </c>
      <c r="I28" s="259">
        <f>'[1]2. Propagácia a marketing'!$AL$22</f>
        <v>0</v>
      </c>
      <c r="J28" s="259">
        <f>'[1]2. Propagácia a marketing'!$AM$22</f>
        <v>0</v>
      </c>
      <c r="K28" s="260">
        <f>'[1]2. Propagácia a marketing'!$AN$22</f>
        <v>0</v>
      </c>
    </row>
    <row r="29" spans="1:11" ht="15.75" x14ac:dyDescent="0.25">
      <c r="A29" s="121"/>
      <c r="B29" s="273">
        <v>6</v>
      </c>
      <c r="C29" s="274" t="s">
        <v>177</v>
      </c>
      <c r="D29" s="261">
        <f t="shared" si="16"/>
        <v>0</v>
      </c>
      <c r="E29" s="259">
        <f>'[1]2. Propagácia a marketing'!$AI$25</f>
        <v>0</v>
      </c>
      <c r="F29" s="259">
        <f>'[1]2. Propagácia a marketing'!$AJ$25</f>
        <v>0</v>
      </c>
      <c r="G29" s="260">
        <f>'[1]2. Propagácia a marketing'!$AK$25</f>
        <v>0</v>
      </c>
      <c r="H29" s="261">
        <f t="shared" si="17"/>
        <v>0</v>
      </c>
      <c r="I29" s="259">
        <f>'[1]2. Propagácia a marketing'!$AL$25</f>
        <v>0</v>
      </c>
      <c r="J29" s="259">
        <f>'[1]2. Propagácia a marketing'!$AM$25</f>
        <v>0</v>
      </c>
      <c r="K29" s="260">
        <f>'[1]2. Propagácia a marketing'!$AN$25</f>
        <v>0</v>
      </c>
    </row>
    <row r="30" spans="1:11" ht="15.75" x14ac:dyDescent="0.25">
      <c r="A30" s="121"/>
      <c r="B30" s="273">
        <v>7</v>
      </c>
      <c r="C30" s="274" t="s">
        <v>178</v>
      </c>
      <c r="D30" s="261">
        <f t="shared" si="16"/>
        <v>2000</v>
      </c>
      <c r="E30" s="259">
        <f>'[1]2. Propagácia a marketing'!$AI$27</f>
        <v>2000</v>
      </c>
      <c r="F30" s="259">
        <f>'[1]2. Propagácia a marketing'!$AJ$27</f>
        <v>0</v>
      </c>
      <c r="G30" s="260">
        <f>'[1]2. Propagácia a marketing'!$AK$27</f>
        <v>0</v>
      </c>
      <c r="H30" s="261">
        <f t="shared" si="17"/>
        <v>136.78</v>
      </c>
      <c r="I30" s="259">
        <f>'[1]2. Propagácia a marketing'!$AL$27</f>
        <v>136.78</v>
      </c>
      <c r="J30" s="259">
        <f>'[1]2. Propagácia a marketing'!$AM$27</f>
        <v>0</v>
      </c>
      <c r="K30" s="260">
        <f>'[1]2. Propagácia a marketing'!$AN$27</f>
        <v>0</v>
      </c>
    </row>
    <row r="31" spans="1:11" ht="15.75" outlineLevel="1" x14ac:dyDescent="0.25">
      <c r="A31" s="121"/>
      <c r="B31" s="273">
        <v>8</v>
      </c>
      <c r="C31" s="274" t="s">
        <v>432</v>
      </c>
      <c r="D31" s="261">
        <f t="shared" si="16"/>
        <v>4000</v>
      </c>
      <c r="E31" s="259">
        <f>'[1]2. Propagácia a marketing'!$AI$29</f>
        <v>4000</v>
      </c>
      <c r="F31" s="259">
        <f>'[1]2. Propagácia a marketing'!$AJ$29</f>
        <v>0</v>
      </c>
      <c r="G31" s="260">
        <f>'[1]2. Propagácia a marketing'!$AK$29</f>
        <v>0</v>
      </c>
      <c r="H31" s="261">
        <f t="shared" si="17"/>
        <v>0</v>
      </c>
      <c r="I31" s="259">
        <f>'[1]2. Propagácia a marketing'!$AL$29</f>
        <v>0</v>
      </c>
      <c r="J31" s="259">
        <f>'[1]2. Propagácia a marketing'!$AM$29</f>
        <v>0</v>
      </c>
      <c r="K31" s="260">
        <f>'[1]2. Propagácia a marketing'!$AN$29</f>
        <v>0</v>
      </c>
    </row>
    <row r="32" spans="1:11" ht="15.75" x14ac:dyDescent="0.25">
      <c r="B32" s="273" t="s">
        <v>180</v>
      </c>
      <c r="C32" s="274" t="s">
        <v>181</v>
      </c>
      <c r="D32" s="261">
        <f t="shared" ref="D32:G32" si="18">SUM(D33:D34)</f>
        <v>18500</v>
      </c>
      <c r="E32" s="259">
        <f t="shared" si="18"/>
        <v>18500</v>
      </c>
      <c r="F32" s="259">
        <f t="shared" si="18"/>
        <v>0</v>
      </c>
      <c r="G32" s="356">
        <f t="shared" si="18"/>
        <v>0</v>
      </c>
      <c r="H32" s="261">
        <f t="shared" ref="H32:K32" si="19">SUM(H33:H34)</f>
        <v>0</v>
      </c>
      <c r="I32" s="259">
        <f t="shared" si="19"/>
        <v>0</v>
      </c>
      <c r="J32" s="259">
        <f t="shared" si="19"/>
        <v>0</v>
      </c>
      <c r="K32" s="356">
        <f t="shared" si="19"/>
        <v>0</v>
      </c>
    </row>
    <row r="33" spans="1:11" ht="15.75" x14ac:dyDescent="0.25">
      <c r="B33" s="273">
        <v>1</v>
      </c>
      <c r="C33" s="274" t="s">
        <v>182</v>
      </c>
      <c r="D33" s="261">
        <f>SUM(E33:G33)</f>
        <v>17000</v>
      </c>
      <c r="E33" s="259">
        <f>'[1]2. Propagácia a marketing'!$AI$32</f>
        <v>17000</v>
      </c>
      <c r="F33" s="259">
        <f>'[1]2. Propagácia a marketing'!$AJ$32</f>
        <v>0</v>
      </c>
      <c r="G33" s="260">
        <f>'[1]2. Propagácia a marketing'!$AK$32</f>
        <v>0</v>
      </c>
      <c r="H33" s="261">
        <f>SUM(I33:K33)</f>
        <v>0</v>
      </c>
      <c r="I33" s="259">
        <f>'[1]2. Propagácia a marketing'!$AL$32</f>
        <v>0</v>
      </c>
      <c r="J33" s="259">
        <f>'[1]2. Propagácia a marketing'!$AM$32</f>
        <v>0</v>
      </c>
      <c r="K33" s="260">
        <f>'[1]2. Propagácia a marketing'!$AN$32</f>
        <v>0</v>
      </c>
    </row>
    <row r="34" spans="1:11" ht="15.75" x14ac:dyDescent="0.25">
      <c r="B34" s="273">
        <v>2</v>
      </c>
      <c r="C34" s="274" t="s">
        <v>183</v>
      </c>
      <c r="D34" s="261">
        <f>SUM(E34:G34)</f>
        <v>1500</v>
      </c>
      <c r="E34" s="259">
        <f>'[1]2. Propagácia a marketing'!$AI$46</f>
        <v>1500</v>
      </c>
      <c r="F34" s="259">
        <f>'[1]2. Propagácia a marketing'!$AJ$46</f>
        <v>0</v>
      </c>
      <c r="G34" s="260">
        <f>'[1]2. Propagácia a marketing'!$AK$46</f>
        <v>0</v>
      </c>
      <c r="H34" s="261">
        <f t="shared" ref="H34:H35" si="20">SUM(I34:K34)</f>
        <v>0</v>
      </c>
      <c r="I34" s="259">
        <f>'[1]2. Propagácia a marketing'!$AL$46</f>
        <v>0</v>
      </c>
      <c r="J34" s="259">
        <f>'[1]2. Propagácia a marketing'!$AM$46</f>
        <v>0</v>
      </c>
      <c r="K34" s="260">
        <f>'[1]2. Propagácia a marketing'!$AN$46</f>
        <v>0</v>
      </c>
    </row>
    <row r="35" spans="1:11" ht="16.5" thickBot="1" x14ac:dyDescent="0.3">
      <c r="A35" s="124"/>
      <c r="B35" s="275" t="s">
        <v>184</v>
      </c>
      <c r="C35" s="276" t="s">
        <v>185</v>
      </c>
      <c r="D35" s="269">
        <f>SUM(E35:G35)</f>
        <v>11700</v>
      </c>
      <c r="E35" s="270">
        <f>'[1]2. Propagácia a marketing'!$AI$51</f>
        <v>11700</v>
      </c>
      <c r="F35" s="270">
        <f>'[1]2. Propagácia a marketing'!$AJ$51</f>
        <v>0</v>
      </c>
      <c r="G35" s="303">
        <f>'[1]2. Propagácia a marketing'!$AK$51</f>
        <v>0</v>
      </c>
      <c r="H35" s="261">
        <f t="shared" si="20"/>
        <v>0</v>
      </c>
      <c r="I35" s="270">
        <f>'[1]2. Propagácia a marketing'!$AL$51</f>
        <v>0</v>
      </c>
      <c r="J35" s="270">
        <f>'[1]2. Propagácia a marketing'!$AM$51</f>
        <v>0</v>
      </c>
      <c r="K35" s="303">
        <f>'[1]2. Propagácia a marketing'!$AN$51</f>
        <v>0</v>
      </c>
    </row>
    <row r="36" spans="1:11" s="123" customFormat="1" ht="15.75" x14ac:dyDescent="0.25">
      <c r="A36" s="111"/>
      <c r="B36" s="277" t="s">
        <v>186</v>
      </c>
      <c r="C36" s="402"/>
      <c r="D36" s="267">
        <f t="shared" ref="D36:G36" si="21">D37+D38+D39+D44+D45</f>
        <v>428220</v>
      </c>
      <c r="E36" s="268">
        <f t="shared" si="21"/>
        <v>428220</v>
      </c>
      <c r="F36" s="268">
        <f t="shared" si="21"/>
        <v>0</v>
      </c>
      <c r="G36" s="355">
        <f t="shared" si="21"/>
        <v>0</v>
      </c>
      <c r="H36" s="267">
        <f t="shared" ref="H36:K36" si="22">H37+H38+H39+H44+H45</f>
        <v>114625.27999999998</v>
      </c>
      <c r="I36" s="268">
        <f t="shared" si="22"/>
        <v>114625.27999999998</v>
      </c>
      <c r="J36" s="268">
        <f t="shared" si="22"/>
        <v>0</v>
      </c>
      <c r="K36" s="355">
        <f t="shared" si="22"/>
        <v>0</v>
      </c>
    </row>
    <row r="37" spans="1:11" ht="15.75" x14ac:dyDescent="0.25">
      <c r="A37" s="121"/>
      <c r="B37" s="273" t="s">
        <v>187</v>
      </c>
      <c r="C37" s="274" t="s">
        <v>188</v>
      </c>
      <c r="D37" s="261">
        <f>SUM(E37:G37)</f>
        <v>121650</v>
      </c>
      <c r="E37" s="259">
        <f>'[1]3.Interné služby'!$AI$4</f>
        <v>121650</v>
      </c>
      <c r="F37" s="259">
        <f>'[1]3.Interné služby'!$AJ$4</f>
        <v>0</v>
      </c>
      <c r="G37" s="260">
        <f>'[1]3.Interné služby'!$AK$4</f>
        <v>0</v>
      </c>
      <c r="H37" s="261">
        <f>SUM(I37:K37)</f>
        <v>27281.550000000003</v>
      </c>
      <c r="I37" s="259">
        <f>'[1]3.Interné služby'!$AL$4</f>
        <v>27281.550000000003</v>
      </c>
      <c r="J37" s="259">
        <f>'[1]3.Interné služby'!$AM$4</f>
        <v>0</v>
      </c>
      <c r="K37" s="260">
        <f>'[1]3.Interné služby'!$AN$4</f>
        <v>0</v>
      </c>
    </row>
    <row r="38" spans="1:11" ht="15.75" x14ac:dyDescent="0.25">
      <c r="A38" s="124"/>
      <c r="B38" s="273" t="s">
        <v>189</v>
      </c>
      <c r="C38" s="274" t="s">
        <v>190</v>
      </c>
      <c r="D38" s="261">
        <f>SUM(E38:G38)</f>
        <v>1000</v>
      </c>
      <c r="E38" s="259">
        <f>'[1]3.Interné služby'!$AI$23</f>
        <v>1000</v>
      </c>
      <c r="F38" s="259">
        <f>'[1]3.Interné služby'!$AJ$23</f>
        <v>0</v>
      </c>
      <c r="G38" s="260">
        <f>'[1]3.Interné služby'!$AK$23</f>
        <v>0</v>
      </c>
      <c r="H38" s="261">
        <f>SUM(I38:K38)</f>
        <v>172.6</v>
      </c>
      <c r="I38" s="259">
        <f>'[1]3.Interné služby'!$AL$23</f>
        <v>172.6</v>
      </c>
      <c r="J38" s="259">
        <f>'[1]3.Interné služby'!$AM$23</f>
        <v>0</v>
      </c>
      <c r="K38" s="260">
        <f>'[1]3.Interné služby'!$AN$23</f>
        <v>0</v>
      </c>
    </row>
    <row r="39" spans="1:11" ht="15.75" x14ac:dyDescent="0.25">
      <c r="B39" s="273" t="s">
        <v>191</v>
      </c>
      <c r="C39" s="274" t="s">
        <v>192</v>
      </c>
      <c r="D39" s="261">
        <f t="shared" ref="D39:G39" si="23">SUM(D40:D43)</f>
        <v>298570</v>
      </c>
      <c r="E39" s="259">
        <f t="shared" si="23"/>
        <v>298570</v>
      </c>
      <c r="F39" s="259">
        <f t="shared" si="23"/>
        <v>0</v>
      </c>
      <c r="G39" s="356">
        <f t="shared" si="23"/>
        <v>0</v>
      </c>
      <c r="H39" s="261">
        <f t="shared" ref="H39:K39" si="24">SUM(H40:H43)</f>
        <v>84754.34</v>
      </c>
      <c r="I39" s="259">
        <f t="shared" si="24"/>
        <v>84754.34</v>
      </c>
      <c r="J39" s="259">
        <f t="shared" si="24"/>
        <v>0</v>
      </c>
      <c r="K39" s="356">
        <f t="shared" si="24"/>
        <v>0</v>
      </c>
    </row>
    <row r="40" spans="1:11" ht="15.75" x14ac:dyDescent="0.25">
      <c r="B40" s="273">
        <v>1</v>
      </c>
      <c r="C40" s="274" t="s">
        <v>193</v>
      </c>
      <c r="D40" s="261">
        <f t="shared" ref="D40:D45" si="25">SUM(E40:G40)</f>
        <v>2300</v>
      </c>
      <c r="E40" s="259">
        <f>'[1]3.Interné služby'!$AI$29</f>
        <v>2300</v>
      </c>
      <c r="F40" s="259">
        <f>'[1]3.Interné služby'!$AJ$29</f>
        <v>0</v>
      </c>
      <c r="G40" s="260">
        <f>'[1]3.Interné služby'!$AK$29</f>
        <v>0</v>
      </c>
      <c r="H40" s="261">
        <f>SUM(I40:K40)</f>
        <v>445.37</v>
      </c>
      <c r="I40" s="259">
        <f>'[1]3.Interné služby'!$AL$29</f>
        <v>445.37</v>
      </c>
      <c r="J40" s="259">
        <f>'[1]3.Interné služby'!$AM$29</f>
        <v>0</v>
      </c>
      <c r="K40" s="260">
        <f>'[1]3.Interné služby'!$AN$29</f>
        <v>0</v>
      </c>
    </row>
    <row r="41" spans="1:11" ht="15.75" x14ac:dyDescent="0.25">
      <c r="B41" s="273">
        <v>2</v>
      </c>
      <c r="C41" s="274" t="s">
        <v>194</v>
      </c>
      <c r="D41" s="261">
        <f t="shared" si="25"/>
        <v>15700</v>
      </c>
      <c r="E41" s="259">
        <f>'[1]3.Interné služby'!$AI$34</f>
        <v>15700</v>
      </c>
      <c r="F41" s="259">
        <f>'[1]3.Interné služby'!$AJ$34</f>
        <v>0</v>
      </c>
      <c r="G41" s="260">
        <f>'[1]3.Interné služby'!$AK$34</f>
        <v>0</v>
      </c>
      <c r="H41" s="261">
        <f t="shared" ref="H41:H45" si="26">SUM(I41:K41)</f>
        <v>7205.45</v>
      </c>
      <c r="I41" s="259">
        <f>'[1]3.Interné služby'!$AL$34</f>
        <v>7205.45</v>
      </c>
      <c r="J41" s="259">
        <f>'[1]3.Interné služby'!$AM$34</f>
        <v>0</v>
      </c>
      <c r="K41" s="260">
        <f>'[1]3.Interné služby'!$AN$34</f>
        <v>0</v>
      </c>
    </row>
    <row r="42" spans="1:11" ht="15.75" x14ac:dyDescent="0.25">
      <c r="B42" s="273">
        <v>3</v>
      </c>
      <c r="C42" s="274" t="s">
        <v>195</v>
      </c>
      <c r="D42" s="261">
        <f t="shared" si="25"/>
        <v>278570</v>
      </c>
      <c r="E42" s="259">
        <f>'[1]3.Interné služby'!$AI$37</f>
        <v>278570</v>
      </c>
      <c r="F42" s="259">
        <f>'[1]3.Interné služby'!$AJ$37</f>
        <v>0</v>
      </c>
      <c r="G42" s="260">
        <f>'[1]3.Interné služby'!$AK$37</f>
        <v>0</v>
      </c>
      <c r="H42" s="261">
        <f t="shared" si="26"/>
        <v>76846.449999999983</v>
      </c>
      <c r="I42" s="259">
        <f>'[1]3.Interné služby'!$AL$37</f>
        <v>76846.449999999983</v>
      </c>
      <c r="J42" s="259">
        <f>'[1]3.Interné služby'!$AM$37</f>
        <v>0</v>
      </c>
      <c r="K42" s="260">
        <f>'[1]3.Interné služby'!$AN$37</f>
        <v>0</v>
      </c>
    </row>
    <row r="43" spans="1:11" ht="15.75" x14ac:dyDescent="0.25">
      <c r="B43" s="273">
        <v>4</v>
      </c>
      <c r="C43" s="274" t="s">
        <v>196</v>
      </c>
      <c r="D43" s="261">
        <f t="shared" si="25"/>
        <v>2000</v>
      </c>
      <c r="E43" s="259">
        <f>'[1]3.Interné služby'!$AI$95</f>
        <v>2000</v>
      </c>
      <c r="F43" s="259">
        <f>'[1]3.Interné služby'!$AJ$95</f>
        <v>0</v>
      </c>
      <c r="G43" s="260">
        <f>'[1]3.Interné služby'!$AK$95</f>
        <v>0</v>
      </c>
      <c r="H43" s="261">
        <f t="shared" si="26"/>
        <v>257.07</v>
      </c>
      <c r="I43" s="259">
        <f>'[1]3.Interné služby'!$AL$95</f>
        <v>257.07</v>
      </c>
      <c r="J43" s="259">
        <f>'[1]3.Interné služby'!$AM$95</f>
        <v>0</v>
      </c>
      <c r="K43" s="260">
        <f>'[1]3.Interné služby'!$AN$95</f>
        <v>0</v>
      </c>
    </row>
    <row r="44" spans="1:11" ht="15.75" x14ac:dyDescent="0.25">
      <c r="B44" s="273" t="s">
        <v>197</v>
      </c>
      <c r="C44" s="274" t="s">
        <v>198</v>
      </c>
      <c r="D44" s="261">
        <f t="shared" si="25"/>
        <v>7000</v>
      </c>
      <c r="E44" s="259">
        <f>'[1]3.Interné služby'!$AI$100</f>
        <v>7000</v>
      </c>
      <c r="F44" s="259">
        <f>'[1]3.Interné služby'!$AJ$100</f>
        <v>0</v>
      </c>
      <c r="G44" s="260">
        <f>'[1]3.Interné služby'!$AK$100</f>
        <v>0</v>
      </c>
      <c r="H44" s="261">
        <f t="shared" si="26"/>
        <v>2416.79</v>
      </c>
      <c r="I44" s="259">
        <f>'[1]3.Interné služby'!$AL$100</f>
        <v>2416.79</v>
      </c>
      <c r="J44" s="259">
        <f>'[1]3.Interné služby'!$AM$100</f>
        <v>0</v>
      </c>
      <c r="K44" s="260">
        <f>'[1]3.Interné služby'!$AN$100</f>
        <v>0</v>
      </c>
    </row>
    <row r="45" spans="1:11" ht="16.5" thickBot="1" x14ac:dyDescent="0.3">
      <c r="B45" s="280" t="s">
        <v>199</v>
      </c>
      <c r="C45" s="276" t="s">
        <v>200</v>
      </c>
      <c r="D45" s="269">
        <f t="shared" si="25"/>
        <v>0</v>
      </c>
      <c r="E45" s="270">
        <f>'[1]3.Interné služby'!$AI$106</f>
        <v>0</v>
      </c>
      <c r="F45" s="270">
        <f>'[1]3.Interné služby'!$AJ$106</f>
        <v>0</v>
      </c>
      <c r="G45" s="303">
        <f>'[1]3.Interné služby'!$AK$106</f>
        <v>0</v>
      </c>
      <c r="H45" s="261">
        <f t="shared" si="26"/>
        <v>0</v>
      </c>
      <c r="I45" s="270">
        <f>'[1]3.Interné služby'!$AL$106</f>
        <v>0</v>
      </c>
      <c r="J45" s="270">
        <f>'[1]3.Interné služby'!$AM$106</f>
        <v>0</v>
      </c>
      <c r="K45" s="303">
        <f>'[1]3.Interné služby'!$AN$106</f>
        <v>0</v>
      </c>
    </row>
    <row r="46" spans="1:11" s="123" customFormat="1" ht="15.75" x14ac:dyDescent="0.25">
      <c r="B46" s="281" t="s">
        <v>201</v>
      </c>
      <c r="C46" s="282"/>
      <c r="D46" s="267">
        <f t="shared" ref="D46:G46" si="27">D47+D48+D51</f>
        <v>64350</v>
      </c>
      <c r="E46" s="268">
        <f t="shared" si="27"/>
        <v>64350</v>
      </c>
      <c r="F46" s="268">
        <f t="shared" si="27"/>
        <v>0</v>
      </c>
      <c r="G46" s="355">
        <f t="shared" si="27"/>
        <v>0</v>
      </c>
      <c r="H46" s="267">
        <f t="shared" ref="H46:K46" si="28">H47+H48+H51</f>
        <v>20674.18</v>
      </c>
      <c r="I46" s="268">
        <f t="shared" si="28"/>
        <v>20674.18</v>
      </c>
      <c r="J46" s="268">
        <f t="shared" si="28"/>
        <v>0</v>
      </c>
      <c r="K46" s="355">
        <f t="shared" si="28"/>
        <v>0</v>
      </c>
    </row>
    <row r="47" spans="1:11" ht="15.75" x14ac:dyDescent="0.25">
      <c r="B47" s="273" t="s">
        <v>202</v>
      </c>
      <c r="C47" s="274" t="s">
        <v>203</v>
      </c>
      <c r="D47" s="261">
        <f>SUM(E47:G47)</f>
        <v>28450</v>
      </c>
      <c r="E47" s="259">
        <f>'[1]4.Služby občanov'!$AI$4</f>
        <v>28450</v>
      </c>
      <c r="F47" s="259">
        <f>'[1]4.Služby občanov'!$AJ$4</f>
        <v>0</v>
      </c>
      <c r="G47" s="260">
        <f>'[1]4.Služby občanov'!$AK$4</f>
        <v>0</v>
      </c>
      <c r="H47" s="261">
        <f>SUM(I47:K47)</f>
        <v>10310.66</v>
      </c>
      <c r="I47" s="259">
        <f>'[1]4.Služby občanov'!$AL$4</f>
        <v>10310.66</v>
      </c>
      <c r="J47" s="259">
        <f>'[1]4.Služby občanov'!$AM$4</f>
        <v>0</v>
      </c>
      <c r="K47" s="260">
        <f>'[1]4.Služby občanov'!$AN$4</f>
        <v>0</v>
      </c>
    </row>
    <row r="48" spans="1:11" ht="15.75" x14ac:dyDescent="0.25">
      <c r="A48" s="125"/>
      <c r="B48" s="273" t="s">
        <v>204</v>
      </c>
      <c r="C48" s="274" t="s">
        <v>205</v>
      </c>
      <c r="D48" s="261">
        <f t="shared" ref="D48:G48" si="29">SUM(D49:D50)</f>
        <v>35900</v>
      </c>
      <c r="E48" s="259">
        <f t="shared" si="29"/>
        <v>35900</v>
      </c>
      <c r="F48" s="259">
        <f t="shared" si="29"/>
        <v>0</v>
      </c>
      <c r="G48" s="356">
        <f t="shared" si="29"/>
        <v>0</v>
      </c>
      <c r="H48" s="261">
        <f t="shared" ref="H48:K48" si="30">SUM(H49:H50)</f>
        <v>10363.520000000002</v>
      </c>
      <c r="I48" s="259">
        <f t="shared" si="30"/>
        <v>10363.520000000002</v>
      </c>
      <c r="J48" s="259">
        <f t="shared" si="30"/>
        <v>0</v>
      </c>
      <c r="K48" s="356">
        <f t="shared" si="30"/>
        <v>0</v>
      </c>
    </row>
    <row r="49" spans="1:11" ht="15.75" x14ac:dyDescent="0.25">
      <c r="A49" s="125"/>
      <c r="B49" s="273">
        <v>1</v>
      </c>
      <c r="C49" s="274" t="s">
        <v>206</v>
      </c>
      <c r="D49" s="261">
        <f>SUM(E49:G49)</f>
        <v>33900</v>
      </c>
      <c r="E49" s="259">
        <f>'[1]4.Služby občanov'!$AI$17</f>
        <v>33900</v>
      </c>
      <c r="F49" s="259">
        <f>'[1]4.Služby občanov'!$AJ$17</f>
        <v>0</v>
      </c>
      <c r="G49" s="260">
        <f>'[1]4.Služby občanov'!$AK$17</f>
        <v>0</v>
      </c>
      <c r="H49" s="261">
        <f>SUM(I49:K49)</f>
        <v>10363.520000000002</v>
      </c>
      <c r="I49" s="259">
        <f>'[1]4.Služby občanov'!$AL$17</f>
        <v>10363.520000000002</v>
      </c>
      <c r="J49" s="259">
        <f>'[1]4.Služby občanov'!$AM$17</f>
        <v>0</v>
      </c>
      <c r="K49" s="260">
        <f>'[1]4.Služby občanov'!$AN$17</f>
        <v>0</v>
      </c>
    </row>
    <row r="50" spans="1:11" ht="15.75" x14ac:dyDescent="0.25">
      <c r="A50" s="125"/>
      <c r="B50" s="273">
        <v>2</v>
      </c>
      <c r="C50" s="274" t="s">
        <v>207</v>
      </c>
      <c r="D50" s="261">
        <f>SUM(E50:G50)</f>
        <v>2000</v>
      </c>
      <c r="E50" s="259">
        <f>'[1]4.Služby občanov'!$AI$29</f>
        <v>2000</v>
      </c>
      <c r="F50" s="259">
        <f>'[1]4.Služby občanov'!$AJ$29</f>
        <v>0</v>
      </c>
      <c r="G50" s="260">
        <f>'[1]4.Služby občanov'!$AK$29</f>
        <v>0</v>
      </c>
      <c r="H50" s="261">
        <f t="shared" ref="H50:H51" si="31">SUM(I50:K50)</f>
        <v>0</v>
      </c>
      <c r="I50" s="259">
        <f>'[1]4.Služby občanov'!$AL$29</f>
        <v>0</v>
      </c>
      <c r="J50" s="259">
        <f>'[1]4.Služby občanov'!$AM$29</f>
        <v>0</v>
      </c>
      <c r="K50" s="260">
        <f>'[1]4.Služby občanov'!$AN$29</f>
        <v>0</v>
      </c>
    </row>
    <row r="51" spans="1:11" ht="16.5" outlineLevel="1" thickBot="1" x14ac:dyDescent="0.3">
      <c r="A51" s="125"/>
      <c r="B51" s="283" t="s">
        <v>208</v>
      </c>
      <c r="C51" s="276" t="s">
        <v>209</v>
      </c>
      <c r="D51" s="261">
        <f>SUM(E51:G51)</f>
        <v>0</v>
      </c>
      <c r="E51" s="270">
        <f>'[1]4.Služby občanov'!$AI$31</f>
        <v>0</v>
      </c>
      <c r="F51" s="270">
        <f>'[1]4.Služby občanov'!$AJ$31</f>
        <v>0</v>
      </c>
      <c r="G51" s="303">
        <f>'[1]4.Služby občanov'!$AK$31</f>
        <v>0</v>
      </c>
      <c r="H51" s="261">
        <f t="shared" si="31"/>
        <v>0</v>
      </c>
      <c r="I51" s="270">
        <f>'[1]4.Služby občanov'!$AL$31</f>
        <v>0</v>
      </c>
      <c r="J51" s="270">
        <f>'[1]4.Služby občanov'!$AM$31</f>
        <v>0</v>
      </c>
      <c r="K51" s="303">
        <f>'[1]4.Služby občanov'!$AN$31</f>
        <v>0</v>
      </c>
    </row>
    <row r="52" spans="1:11" s="123" customFormat="1" ht="15.75" x14ac:dyDescent="0.25">
      <c r="A52" s="125"/>
      <c r="B52" s="277" t="s">
        <v>210</v>
      </c>
      <c r="C52" s="284"/>
      <c r="D52" s="267">
        <f t="shared" ref="D52:G52" si="32">D53+D58+D60+D59+D65</f>
        <v>1580705</v>
      </c>
      <c r="E52" s="268">
        <f t="shared" si="32"/>
        <v>1447005</v>
      </c>
      <c r="F52" s="268">
        <f t="shared" si="32"/>
        <v>117700</v>
      </c>
      <c r="G52" s="355">
        <f t="shared" si="32"/>
        <v>16000</v>
      </c>
      <c r="H52" s="267">
        <f t="shared" ref="H52:K52" si="33">H53+H58+H60+H59+H65</f>
        <v>437645.26000000007</v>
      </c>
      <c r="I52" s="268">
        <f t="shared" si="33"/>
        <v>432372.26000000007</v>
      </c>
      <c r="J52" s="268">
        <f t="shared" si="33"/>
        <v>2705</v>
      </c>
      <c r="K52" s="355">
        <f t="shared" si="33"/>
        <v>2568</v>
      </c>
    </row>
    <row r="53" spans="1:11" ht="15.75" x14ac:dyDescent="0.25">
      <c r="A53" s="125"/>
      <c r="B53" s="285" t="s">
        <v>211</v>
      </c>
      <c r="C53" s="274" t="s">
        <v>212</v>
      </c>
      <c r="D53" s="261">
        <f t="shared" ref="D53:G53" si="34">SUM(D54:D57)</f>
        <v>1209005</v>
      </c>
      <c r="E53" s="259">
        <f t="shared" si="34"/>
        <v>1190305</v>
      </c>
      <c r="F53" s="259">
        <f t="shared" si="34"/>
        <v>2700</v>
      </c>
      <c r="G53" s="356">
        <f t="shared" si="34"/>
        <v>16000</v>
      </c>
      <c r="H53" s="261">
        <f t="shared" ref="H53:K53" si="35">SUM(H54:H57)</f>
        <v>339670.45000000007</v>
      </c>
      <c r="I53" s="259">
        <f t="shared" si="35"/>
        <v>334397.45000000007</v>
      </c>
      <c r="J53" s="259">
        <f t="shared" si="35"/>
        <v>2705</v>
      </c>
      <c r="K53" s="356">
        <f t="shared" si="35"/>
        <v>2568</v>
      </c>
    </row>
    <row r="54" spans="1:11" ht="15.75" x14ac:dyDescent="0.25">
      <c r="A54" s="125"/>
      <c r="B54" s="273">
        <v>1</v>
      </c>
      <c r="C54" s="274" t="s">
        <v>213</v>
      </c>
      <c r="D54" s="261">
        <f t="shared" ref="D54:D59" si="36">SUM(E54:G54)</f>
        <v>836405</v>
      </c>
      <c r="E54" s="259">
        <f>'[1]5.Bezpečnosť, právo a por.'!$AI$5</f>
        <v>817705</v>
      </c>
      <c r="F54" s="259">
        <f>'[1]5.Bezpečnosť, právo a por.'!$AJ$5</f>
        <v>2700</v>
      </c>
      <c r="G54" s="260">
        <f>'[1]5.Bezpečnosť, právo a por.'!$AK$5</f>
        <v>16000</v>
      </c>
      <c r="H54" s="261">
        <f>SUM(I54:K54)</f>
        <v>236529.85000000003</v>
      </c>
      <c r="I54" s="259">
        <f>'[1]5.Bezpečnosť, právo a por.'!$AL$5</f>
        <v>231256.85000000003</v>
      </c>
      <c r="J54" s="259">
        <f>'[1]5.Bezpečnosť, právo a por.'!$AM$5</f>
        <v>2705</v>
      </c>
      <c r="K54" s="260">
        <f>'[1]5.Bezpečnosť, právo a por.'!$AN$5</f>
        <v>2568</v>
      </c>
    </row>
    <row r="55" spans="1:11" ht="15.75" x14ac:dyDescent="0.25">
      <c r="B55" s="273">
        <v>2</v>
      </c>
      <c r="C55" s="274" t="s">
        <v>214</v>
      </c>
      <c r="D55" s="261">
        <f t="shared" si="36"/>
        <v>201900</v>
      </c>
      <c r="E55" s="259">
        <f>'[1]5.Bezpečnosť, právo a por.'!$AI$61</f>
        <v>201900</v>
      </c>
      <c r="F55" s="259">
        <f>'[1]5.Bezpečnosť, právo a por.'!$AJ$61</f>
        <v>0</v>
      </c>
      <c r="G55" s="260">
        <f>'[1]5.Bezpečnosť, právo a por.'!$AK$61</f>
        <v>0</v>
      </c>
      <c r="H55" s="261">
        <f t="shared" ref="H55:H59" si="37">SUM(I55:K55)</f>
        <v>51152.44000000001</v>
      </c>
      <c r="I55" s="259">
        <f>'[1]5.Bezpečnosť, právo a por.'!$AL$61</f>
        <v>51152.44000000001</v>
      </c>
      <c r="J55" s="259">
        <f>'[1]5.Bezpečnosť, právo a por.'!$AM$61</f>
        <v>0</v>
      </c>
      <c r="K55" s="260">
        <f>'[1]5.Bezpečnosť, právo a por.'!$AN$61</f>
        <v>0</v>
      </c>
    </row>
    <row r="56" spans="1:11" ht="15.75" x14ac:dyDescent="0.25">
      <c r="A56" s="124"/>
      <c r="B56" s="273">
        <v>3</v>
      </c>
      <c r="C56" s="274" t="s">
        <v>215</v>
      </c>
      <c r="D56" s="261">
        <f t="shared" si="36"/>
        <v>84500</v>
      </c>
      <c r="E56" s="259">
        <f>'[1]5.Bezpečnosť, právo a por.'!$AI$84</f>
        <v>84500</v>
      </c>
      <c r="F56" s="259">
        <f>'[1]5.Bezpečnosť, právo a por.'!$AJ$84</f>
        <v>0</v>
      </c>
      <c r="G56" s="260">
        <f>'[1]5.Bezpečnosť, právo a por.'!$AK$84</f>
        <v>0</v>
      </c>
      <c r="H56" s="261">
        <f t="shared" si="37"/>
        <v>26057.949999999997</v>
      </c>
      <c r="I56" s="259">
        <f>'[1]5.Bezpečnosť, právo a por.'!$AL$84</f>
        <v>26057.949999999997</v>
      </c>
      <c r="J56" s="259">
        <f>'[1]5.Bezpečnosť, právo a por.'!$AM$84</f>
        <v>0</v>
      </c>
      <c r="K56" s="260">
        <f>'[1]5.Bezpečnosť, právo a por.'!$AN$84</f>
        <v>0</v>
      </c>
    </row>
    <row r="57" spans="1:11" ht="15.75" x14ac:dyDescent="0.25">
      <c r="A57" s="124"/>
      <c r="B57" s="273">
        <v>4</v>
      </c>
      <c r="C57" s="274" t="s">
        <v>216</v>
      </c>
      <c r="D57" s="261">
        <f t="shared" si="36"/>
        <v>86200</v>
      </c>
      <c r="E57" s="259">
        <f>'[1]5.Bezpečnosť, právo a por.'!$AI$87</f>
        <v>86200</v>
      </c>
      <c r="F57" s="259">
        <f>'[1]5.Bezpečnosť, právo a por.'!$AJ$87</f>
        <v>0</v>
      </c>
      <c r="G57" s="260">
        <f>'[1]5.Bezpečnosť, právo a por.'!$AK$87</f>
        <v>0</v>
      </c>
      <c r="H57" s="261">
        <f t="shared" si="37"/>
        <v>25930.21</v>
      </c>
      <c r="I57" s="259">
        <f>'[1]5.Bezpečnosť, právo a por.'!$AL$87</f>
        <v>25930.21</v>
      </c>
      <c r="J57" s="259">
        <f>'[1]5.Bezpečnosť, právo a por.'!$AM$87</f>
        <v>0</v>
      </c>
      <c r="K57" s="260">
        <f>'[1]5.Bezpečnosť, právo a por.'!$AN$87</f>
        <v>0</v>
      </c>
    </row>
    <row r="58" spans="1:11" ht="15.75" x14ac:dyDescent="0.25">
      <c r="B58" s="285" t="s">
        <v>217</v>
      </c>
      <c r="C58" s="274" t="s">
        <v>218</v>
      </c>
      <c r="D58" s="261">
        <f t="shared" si="36"/>
        <v>0</v>
      </c>
      <c r="E58" s="259">
        <f>'[1]5.Bezpečnosť, právo a por.'!$AI$95</f>
        <v>0</v>
      </c>
      <c r="F58" s="259">
        <f>'[1]5.Bezpečnosť, právo a por.'!$AJ$95</f>
        <v>0</v>
      </c>
      <c r="G58" s="260">
        <f>'[1]5.Bezpečnosť, právo a por.'!$AK$95</f>
        <v>0</v>
      </c>
      <c r="H58" s="261">
        <f t="shared" si="37"/>
        <v>0</v>
      </c>
      <c r="I58" s="259">
        <f>'[1]5.Bezpečnosť, právo a por.'!$AL$95</f>
        <v>0</v>
      </c>
      <c r="J58" s="259">
        <f>'[1]5.Bezpečnosť, právo a por.'!$AM$95</f>
        <v>0</v>
      </c>
      <c r="K58" s="260">
        <f>'[1]5.Bezpečnosť, právo a por.'!$AN$95</f>
        <v>0</v>
      </c>
    </row>
    <row r="59" spans="1:11" ht="15.75" x14ac:dyDescent="0.25">
      <c r="B59" s="285" t="s">
        <v>219</v>
      </c>
      <c r="C59" s="274" t="s">
        <v>220</v>
      </c>
      <c r="D59" s="261">
        <f t="shared" si="36"/>
        <v>7400</v>
      </c>
      <c r="E59" s="259">
        <f>'[1]5.Bezpečnosť, právo a por.'!$AI$97</f>
        <v>7400</v>
      </c>
      <c r="F59" s="259">
        <f>'[1]5.Bezpečnosť, právo a por.'!$AJ$97</f>
        <v>0</v>
      </c>
      <c r="G59" s="260">
        <f>'[1]5.Bezpečnosť, právo a por.'!$AK$97</f>
        <v>0</v>
      </c>
      <c r="H59" s="261">
        <f t="shared" si="37"/>
        <v>900.13</v>
      </c>
      <c r="I59" s="259">
        <f>'[1]5.Bezpečnosť, právo a por.'!$AL$97</f>
        <v>900.13</v>
      </c>
      <c r="J59" s="259">
        <f>'[1]5.Bezpečnosť, právo a por.'!$AM$97</f>
        <v>0</v>
      </c>
      <c r="K59" s="260">
        <f>'[1]5.Bezpečnosť, právo a por.'!$AN$97</f>
        <v>0</v>
      </c>
    </row>
    <row r="60" spans="1:11" ht="15.75" x14ac:dyDescent="0.25">
      <c r="B60" s="285" t="s">
        <v>221</v>
      </c>
      <c r="C60" s="274" t="s">
        <v>222</v>
      </c>
      <c r="D60" s="261">
        <f t="shared" ref="D60:G60" si="38">SUM(D61:D64)</f>
        <v>355000</v>
      </c>
      <c r="E60" s="259">
        <f t="shared" si="38"/>
        <v>240000</v>
      </c>
      <c r="F60" s="259">
        <f t="shared" si="38"/>
        <v>115000</v>
      </c>
      <c r="G60" s="356">
        <f t="shared" si="38"/>
        <v>0</v>
      </c>
      <c r="H60" s="261">
        <f t="shared" ref="H60:K60" si="39">SUM(H61:H64)</f>
        <v>95974.68</v>
      </c>
      <c r="I60" s="259">
        <f t="shared" si="39"/>
        <v>95974.68</v>
      </c>
      <c r="J60" s="259">
        <f t="shared" si="39"/>
        <v>0</v>
      </c>
      <c r="K60" s="356">
        <f t="shared" si="39"/>
        <v>0</v>
      </c>
    </row>
    <row r="61" spans="1:11" ht="15.75" x14ac:dyDescent="0.25">
      <c r="B61" s="273">
        <v>1</v>
      </c>
      <c r="C61" s="274" t="s">
        <v>223</v>
      </c>
      <c r="D61" s="261">
        <f>SUM(E61:G61)</f>
        <v>115000</v>
      </c>
      <c r="E61" s="259">
        <f>'[1]5.Bezpečnosť, právo a por.'!$AI$115</f>
        <v>0</v>
      </c>
      <c r="F61" s="259">
        <f>'[1]5.Bezpečnosť, právo a por.'!$AJ$115</f>
        <v>115000</v>
      </c>
      <c r="G61" s="260">
        <f>'[1]5.Bezpečnosť, právo a por.'!$AK$115</f>
        <v>0</v>
      </c>
      <c r="H61" s="261">
        <f>SUM(I61:K61)</f>
        <v>0</v>
      </c>
      <c r="I61" s="259">
        <f>'[1]5.Bezpečnosť, právo a por.'!$AL$115</f>
        <v>0</v>
      </c>
      <c r="J61" s="259">
        <f>'[1]5.Bezpečnosť, právo a por.'!$AM$115</f>
        <v>0</v>
      </c>
      <c r="K61" s="260">
        <f>'[1]5.Bezpečnosť, právo a por.'!$AN$115</f>
        <v>0</v>
      </c>
    </row>
    <row r="62" spans="1:11" ht="15.75" x14ac:dyDescent="0.25">
      <c r="B62" s="273">
        <v>2</v>
      </c>
      <c r="C62" s="274" t="s">
        <v>224</v>
      </c>
      <c r="D62" s="261">
        <f>SUM(E62:G62)</f>
        <v>100000</v>
      </c>
      <c r="E62" s="259">
        <f>'[1]5.Bezpečnosť, právo a por.'!$AI$122</f>
        <v>100000</v>
      </c>
      <c r="F62" s="259">
        <f>'[1]5.Bezpečnosť, právo a por.'!$AJ$122</f>
        <v>0</v>
      </c>
      <c r="G62" s="260">
        <f>'[1]5.Bezpečnosť, právo a por.'!$AK$122</f>
        <v>0</v>
      </c>
      <c r="H62" s="261">
        <f t="shared" ref="H62:H64" si="40">SUM(I62:K62)</f>
        <v>46012.04</v>
      </c>
      <c r="I62" s="259">
        <f>'[1]5.Bezpečnosť, právo a por.'!$AL$122</f>
        <v>46012.04</v>
      </c>
      <c r="J62" s="259">
        <f>'[1]5.Bezpečnosť, právo a por.'!$AM$122</f>
        <v>0</v>
      </c>
      <c r="K62" s="260">
        <f>'[1]5.Bezpečnosť, právo a por.'!$AN$122</f>
        <v>0</v>
      </c>
    </row>
    <row r="63" spans="1:11" ht="15.75" x14ac:dyDescent="0.25">
      <c r="B63" s="273">
        <v>3</v>
      </c>
      <c r="C63" s="274" t="s">
        <v>225</v>
      </c>
      <c r="D63" s="261">
        <f>SUM(E63:G63)</f>
        <v>140000</v>
      </c>
      <c r="E63" s="259">
        <f>'[1]5.Bezpečnosť, právo a por.'!$AI$125</f>
        <v>140000</v>
      </c>
      <c r="F63" s="259">
        <f>'[1]5.Bezpečnosť, právo a por.'!$AJ$125</f>
        <v>0</v>
      </c>
      <c r="G63" s="260">
        <f>'[1]5.Bezpečnosť, právo a por.'!$AK$125</f>
        <v>0</v>
      </c>
      <c r="H63" s="261">
        <f t="shared" si="40"/>
        <v>49962.64</v>
      </c>
      <c r="I63" s="259">
        <f>'[1]5.Bezpečnosť, právo a por.'!$AL$125</f>
        <v>49962.64</v>
      </c>
      <c r="J63" s="259">
        <f>'[1]5.Bezpečnosť, právo a por.'!$AM$125</f>
        <v>0</v>
      </c>
      <c r="K63" s="260">
        <f>'[1]5.Bezpečnosť, právo a por.'!$AN$125</f>
        <v>0</v>
      </c>
    </row>
    <row r="64" spans="1:11" ht="15.75" x14ac:dyDescent="0.25">
      <c r="B64" s="273">
        <v>4</v>
      </c>
      <c r="C64" s="274" t="s">
        <v>226</v>
      </c>
      <c r="D64" s="261">
        <f>SUM(E64:G64)</f>
        <v>0</v>
      </c>
      <c r="E64" s="259">
        <f>'[1]5.Bezpečnosť, právo a por.'!$AI$128</f>
        <v>0</v>
      </c>
      <c r="F64" s="259">
        <f>'[1]5.Bezpečnosť, právo a por.'!$AJ$128</f>
        <v>0</v>
      </c>
      <c r="G64" s="260">
        <f>'[1]5.Bezpečnosť, právo a por.'!$AK$128</f>
        <v>0</v>
      </c>
      <c r="H64" s="261">
        <f t="shared" si="40"/>
        <v>0</v>
      </c>
      <c r="I64" s="259">
        <f>'[1]5.Bezpečnosť, právo a por.'!$AL$128</f>
        <v>0</v>
      </c>
      <c r="J64" s="259">
        <f>'[1]5.Bezpečnosť, právo a por.'!$AM$128</f>
        <v>0</v>
      </c>
      <c r="K64" s="260">
        <f>'[1]5.Bezpečnosť, právo a por.'!$AN$128</f>
        <v>0</v>
      </c>
    </row>
    <row r="65" spans="1:11" ht="15.75" x14ac:dyDescent="0.25">
      <c r="A65" s="125"/>
      <c r="B65" s="285" t="s">
        <v>227</v>
      </c>
      <c r="C65" s="286" t="s">
        <v>228</v>
      </c>
      <c r="D65" s="261">
        <f t="shared" ref="D65:G65" si="41">SUM(D66:D67)</f>
        <v>9300</v>
      </c>
      <c r="E65" s="259">
        <f t="shared" si="41"/>
        <v>9300</v>
      </c>
      <c r="F65" s="259">
        <f t="shared" si="41"/>
        <v>0</v>
      </c>
      <c r="G65" s="356">
        <f t="shared" si="41"/>
        <v>0</v>
      </c>
      <c r="H65" s="261">
        <f t="shared" ref="H65:K65" si="42">SUM(H66:H67)</f>
        <v>1100</v>
      </c>
      <c r="I65" s="259">
        <f t="shared" si="42"/>
        <v>1100</v>
      </c>
      <c r="J65" s="259">
        <f t="shared" si="42"/>
        <v>0</v>
      </c>
      <c r="K65" s="356">
        <f t="shared" si="42"/>
        <v>0</v>
      </c>
    </row>
    <row r="66" spans="1:11" ht="15.75" x14ac:dyDescent="0.25">
      <c r="A66" s="125"/>
      <c r="B66" s="273">
        <v>1</v>
      </c>
      <c r="C66" s="274" t="s">
        <v>229</v>
      </c>
      <c r="D66" s="261">
        <f>SUM(E66:G66)</f>
        <v>6300</v>
      </c>
      <c r="E66" s="259">
        <f>'[1]5.Bezpečnosť, právo a por.'!$AI$132</f>
        <v>6300</v>
      </c>
      <c r="F66" s="259">
        <f>'[1]5.Bezpečnosť, právo a por.'!$AJ$132</f>
        <v>0</v>
      </c>
      <c r="G66" s="260">
        <f>'[1]5.Bezpečnosť, právo a por.'!$AK$132</f>
        <v>0</v>
      </c>
      <c r="H66" s="261">
        <f>SUM(I66:K66)</f>
        <v>1100</v>
      </c>
      <c r="I66" s="259">
        <f>'[1]5.Bezpečnosť, právo a por.'!$AL$132</f>
        <v>1100</v>
      </c>
      <c r="J66" s="259">
        <f>'[1]5.Bezpečnosť, právo a por.'!$AM$132</f>
        <v>0</v>
      </c>
      <c r="K66" s="260">
        <f>'[1]5.Bezpečnosť, právo a por.'!$AN$132</f>
        <v>0</v>
      </c>
    </row>
    <row r="67" spans="1:11" ht="16.5" thickBot="1" x14ac:dyDescent="0.3">
      <c r="A67" s="125"/>
      <c r="B67" s="275">
        <v>2</v>
      </c>
      <c r="C67" s="363" t="s">
        <v>421</v>
      </c>
      <c r="D67" s="269">
        <f>SUM(E67:G67)</f>
        <v>3000</v>
      </c>
      <c r="E67" s="270">
        <f>'[1]5.Bezpečnosť, právo a por.'!$AI$134</f>
        <v>3000</v>
      </c>
      <c r="F67" s="270">
        <f>'[1]5.Bezpečnosť, právo a por.'!$AJ$134</f>
        <v>0</v>
      </c>
      <c r="G67" s="303">
        <f>'[1]5.Bezpečnosť, právo a por.'!$AK$134</f>
        <v>0</v>
      </c>
      <c r="H67" s="261">
        <f>SUM(I67:K67)</f>
        <v>0</v>
      </c>
      <c r="I67" s="270">
        <f>'[1]5.Bezpečnosť, právo a por.'!$AL$134</f>
        <v>0</v>
      </c>
      <c r="J67" s="270">
        <f>'[1]5.Bezpečnosť, právo a por.'!$AM$134</f>
        <v>0</v>
      </c>
      <c r="K67" s="303">
        <f>'[1]5.Bezpečnosť, právo a por.'!$AN$134</f>
        <v>0</v>
      </c>
    </row>
    <row r="68" spans="1:11" s="123" customFormat="1" ht="15.75" x14ac:dyDescent="0.25">
      <c r="A68" s="125"/>
      <c r="B68" s="277" t="s">
        <v>231</v>
      </c>
      <c r="C68" s="278"/>
      <c r="D68" s="267">
        <f t="shared" ref="D68:G68" si="43">D69+D72+D75</f>
        <v>1890500</v>
      </c>
      <c r="E68" s="268">
        <f t="shared" si="43"/>
        <v>1884000</v>
      </c>
      <c r="F68" s="268">
        <f t="shared" si="43"/>
        <v>6500</v>
      </c>
      <c r="G68" s="355">
        <f t="shared" si="43"/>
        <v>0</v>
      </c>
      <c r="H68" s="267">
        <f t="shared" ref="H68:K68" si="44">H69+H72+H75</f>
        <v>579326.82000000007</v>
      </c>
      <c r="I68" s="268">
        <f t="shared" si="44"/>
        <v>572854.18000000005</v>
      </c>
      <c r="J68" s="268">
        <f t="shared" si="44"/>
        <v>6472.64</v>
      </c>
      <c r="K68" s="355">
        <f t="shared" si="44"/>
        <v>0</v>
      </c>
    </row>
    <row r="69" spans="1:11" ht="15.75" x14ac:dyDescent="0.25">
      <c r="A69" s="124"/>
      <c r="B69" s="285" t="s">
        <v>232</v>
      </c>
      <c r="C69" s="286" t="s">
        <v>233</v>
      </c>
      <c r="D69" s="261">
        <f t="shared" ref="D69:G69" si="45">SUM(D70:D71)</f>
        <v>1675000</v>
      </c>
      <c r="E69" s="259">
        <f t="shared" si="45"/>
        <v>1668500</v>
      </c>
      <c r="F69" s="259">
        <f t="shared" si="45"/>
        <v>6500</v>
      </c>
      <c r="G69" s="356">
        <f t="shared" si="45"/>
        <v>0</v>
      </c>
      <c r="H69" s="261">
        <f t="shared" ref="H69:K69" si="46">SUM(H70:H71)</f>
        <v>484087.16000000003</v>
      </c>
      <c r="I69" s="259">
        <f t="shared" si="46"/>
        <v>477614.52</v>
      </c>
      <c r="J69" s="259">
        <f t="shared" si="46"/>
        <v>6472.64</v>
      </c>
      <c r="K69" s="356">
        <f t="shared" si="46"/>
        <v>0</v>
      </c>
    </row>
    <row r="70" spans="1:11" ht="15.75" x14ac:dyDescent="0.25">
      <c r="B70" s="273">
        <v>1</v>
      </c>
      <c r="C70" s="286" t="s">
        <v>234</v>
      </c>
      <c r="D70" s="261">
        <f>SUM(E70:G70)</f>
        <v>8800</v>
      </c>
      <c r="E70" s="259">
        <f>'[1]6.Odpadové hospodárstvo'!$AI$5</f>
        <v>2300</v>
      </c>
      <c r="F70" s="259">
        <f>'[1]6.Odpadové hospodárstvo'!$AJ$5</f>
        <v>6500</v>
      </c>
      <c r="G70" s="260">
        <f>'[1]6.Odpadové hospodárstvo'!$AK$5</f>
        <v>0</v>
      </c>
      <c r="H70" s="261">
        <f>SUM(I70:K70)</f>
        <v>6472.64</v>
      </c>
      <c r="I70" s="259">
        <f>'[1]6.Odpadové hospodárstvo'!$AL$5</f>
        <v>0</v>
      </c>
      <c r="J70" s="259">
        <f>'[1]6.Odpadové hospodárstvo'!$AM$5</f>
        <v>6472.64</v>
      </c>
      <c r="K70" s="260">
        <f>'[1]6.Odpadové hospodárstvo'!$AN$5</f>
        <v>0</v>
      </c>
    </row>
    <row r="71" spans="1:11" ht="15.75" x14ac:dyDescent="0.25">
      <c r="B71" s="273">
        <v>2</v>
      </c>
      <c r="C71" s="274" t="s">
        <v>235</v>
      </c>
      <c r="D71" s="261">
        <f>SUM(E71:G71)</f>
        <v>1666200</v>
      </c>
      <c r="E71" s="259">
        <f>'[1]6.Odpadové hospodárstvo'!$AI$10</f>
        <v>1666200</v>
      </c>
      <c r="F71" s="259">
        <f>'[1]6.Odpadové hospodárstvo'!$AJ$10</f>
        <v>0</v>
      </c>
      <c r="G71" s="260">
        <f>'[1]6.Odpadové hospodárstvo'!$AK$10</f>
        <v>0</v>
      </c>
      <c r="H71" s="261">
        <f>SUM(I71:K71)</f>
        <v>477614.52</v>
      </c>
      <c r="I71" s="259">
        <f>'[1]6.Odpadové hospodárstvo'!$AL$10</f>
        <v>477614.52</v>
      </c>
      <c r="J71" s="259">
        <f>'[1]6.Odpadové hospodárstvo'!$AM$10</f>
        <v>0</v>
      </c>
      <c r="K71" s="260">
        <f>'[1]6.Odpadové hospodárstvo'!$AN$10</f>
        <v>0</v>
      </c>
    </row>
    <row r="72" spans="1:11" ht="15.75" x14ac:dyDescent="0.25">
      <c r="B72" s="285" t="s">
        <v>236</v>
      </c>
      <c r="C72" s="274" t="s">
        <v>237</v>
      </c>
      <c r="D72" s="261">
        <f t="shared" ref="D72:G72" si="47">SUM(D73:D74)</f>
        <v>0</v>
      </c>
      <c r="E72" s="259">
        <f t="shared" si="47"/>
        <v>0</v>
      </c>
      <c r="F72" s="259">
        <f t="shared" si="47"/>
        <v>0</v>
      </c>
      <c r="G72" s="356">
        <f t="shared" si="47"/>
        <v>0</v>
      </c>
      <c r="H72" s="261">
        <f t="shared" ref="H72:K72" si="48">SUM(H73:H74)</f>
        <v>0</v>
      </c>
      <c r="I72" s="259">
        <f t="shared" si="48"/>
        <v>0</v>
      </c>
      <c r="J72" s="259">
        <f t="shared" si="48"/>
        <v>0</v>
      </c>
      <c r="K72" s="356">
        <f t="shared" si="48"/>
        <v>0</v>
      </c>
    </row>
    <row r="73" spans="1:11" ht="15.75" x14ac:dyDescent="0.25">
      <c r="B73" s="273">
        <v>1</v>
      </c>
      <c r="C73" s="274" t="s">
        <v>238</v>
      </c>
      <c r="D73" s="261">
        <f>SUM(E73:G73)</f>
        <v>0</v>
      </c>
      <c r="E73" s="259">
        <f>'[1]6.Odpadové hospodárstvo'!$AI$26</f>
        <v>0</v>
      </c>
      <c r="F73" s="259">
        <f>'[1]6.Odpadové hospodárstvo'!$AJ$26</f>
        <v>0</v>
      </c>
      <c r="G73" s="260">
        <f>'[1]6.Odpadové hospodárstvo'!$AK$26</f>
        <v>0</v>
      </c>
      <c r="H73" s="261">
        <f>SUM(I73:K73)</f>
        <v>0</v>
      </c>
      <c r="I73" s="259">
        <f>'[1]6.Odpadové hospodárstvo'!$AL$26</f>
        <v>0</v>
      </c>
      <c r="J73" s="259">
        <f>'[1]6.Odpadové hospodárstvo'!$AM$26</f>
        <v>0</v>
      </c>
      <c r="K73" s="260">
        <f>'[1]6.Odpadové hospodárstvo'!$AN$26</f>
        <v>0</v>
      </c>
    </row>
    <row r="74" spans="1:11" ht="15.75" x14ac:dyDescent="0.25">
      <c r="B74" s="273">
        <v>2</v>
      </c>
      <c r="C74" s="286" t="s">
        <v>239</v>
      </c>
      <c r="D74" s="261">
        <f>SUM(E74:G74)</f>
        <v>0</v>
      </c>
      <c r="E74" s="259">
        <f>'[1]6.Odpadové hospodárstvo'!$AI$29</f>
        <v>0</v>
      </c>
      <c r="F74" s="259">
        <f>'[1]6.Odpadové hospodárstvo'!$AJ$29</f>
        <v>0</v>
      </c>
      <c r="G74" s="260">
        <f>'[1]6.Odpadové hospodárstvo'!$AK$29</f>
        <v>0</v>
      </c>
      <c r="H74" s="261">
        <f t="shared" ref="H74:H75" si="49">SUM(I74:K74)</f>
        <v>0</v>
      </c>
      <c r="I74" s="259">
        <f>'[1]6.Odpadové hospodárstvo'!$AL$29</f>
        <v>0</v>
      </c>
      <c r="J74" s="259">
        <f>'[1]6.Odpadové hospodárstvo'!$AM$29</f>
        <v>0</v>
      </c>
      <c r="K74" s="260">
        <f>'[1]6.Odpadové hospodárstvo'!$AN$29</f>
        <v>0</v>
      </c>
    </row>
    <row r="75" spans="1:11" ht="16.5" thickBot="1" x14ac:dyDescent="0.3">
      <c r="B75" s="287" t="s">
        <v>240</v>
      </c>
      <c r="C75" s="288" t="s">
        <v>241</v>
      </c>
      <c r="D75" s="269">
        <f>SUM(E75:G75)</f>
        <v>215500</v>
      </c>
      <c r="E75" s="270">
        <f>'[1]6.Odpadové hospodárstvo'!$AI$31</f>
        <v>215500</v>
      </c>
      <c r="F75" s="270">
        <f>'[1]6.Odpadové hospodárstvo'!$AJ$31</f>
        <v>0</v>
      </c>
      <c r="G75" s="303">
        <f>'[1]6.Odpadové hospodárstvo'!$AK$31</f>
        <v>0</v>
      </c>
      <c r="H75" s="261">
        <f t="shared" si="49"/>
        <v>95239.66</v>
      </c>
      <c r="I75" s="270">
        <f>'[1]6.Odpadové hospodárstvo'!$AL$31</f>
        <v>95239.66</v>
      </c>
      <c r="J75" s="270">
        <f>'[1]6.Odpadové hospodárstvo'!$AM$31</f>
        <v>0</v>
      </c>
      <c r="K75" s="303">
        <f>'[1]6.Odpadové hospodárstvo'!$AN$31</f>
        <v>0</v>
      </c>
    </row>
    <row r="76" spans="1:11" s="123" customFormat="1" ht="15.75" x14ac:dyDescent="0.25">
      <c r="B76" s="277" t="s">
        <v>242</v>
      </c>
      <c r="C76" s="278"/>
      <c r="D76" s="267">
        <f t="shared" ref="D76:G76" si="50">D77+D85+D88</f>
        <v>3253475</v>
      </c>
      <c r="E76" s="268">
        <f t="shared" si="50"/>
        <v>412475</v>
      </c>
      <c r="F76" s="268">
        <f t="shared" si="50"/>
        <v>2841000</v>
      </c>
      <c r="G76" s="355">
        <f t="shared" si="50"/>
        <v>0</v>
      </c>
      <c r="H76" s="267">
        <f t="shared" ref="H76:K76" si="51">H77+H85+H88</f>
        <v>465788.07</v>
      </c>
      <c r="I76" s="268">
        <f t="shared" si="51"/>
        <v>206399.93</v>
      </c>
      <c r="J76" s="268">
        <f t="shared" si="51"/>
        <v>259388.14</v>
      </c>
      <c r="K76" s="355">
        <f t="shared" si="51"/>
        <v>0</v>
      </c>
    </row>
    <row r="77" spans="1:11" ht="15.75" x14ac:dyDescent="0.25">
      <c r="B77" s="285" t="s">
        <v>243</v>
      </c>
      <c r="C77" s="274" t="s">
        <v>244</v>
      </c>
      <c r="D77" s="261">
        <f t="shared" ref="D77:G77" si="52">SUM(D78:D84)</f>
        <v>620100</v>
      </c>
      <c r="E77" s="259">
        <f t="shared" si="52"/>
        <v>383100</v>
      </c>
      <c r="F77" s="259">
        <f t="shared" si="52"/>
        <v>237000</v>
      </c>
      <c r="G77" s="356">
        <f t="shared" si="52"/>
        <v>0</v>
      </c>
      <c r="H77" s="261">
        <f t="shared" ref="H77:K77" si="53">SUM(H78:H84)</f>
        <v>274910.19</v>
      </c>
      <c r="I77" s="259">
        <f t="shared" si="53"/>
        <v>199276.87</v>
      </c>
      <c r="J77" s="259">
        <f t="shared" si="53"/>
        <v>75633.320000000007</v>
      </c>
      <c r="K77" s="356">
        <f t="shared" si="53"/>
        <v>0</v>
      </c>
    </row>
    <row r="78" spans="1:11" ht="15.75" x14ac:dyDescent="0.25">
      <c r="B78" s="273">
        <v>1</v>
      </c>
      <c r="C78" s="274" t="s">
        <v>245</v>
      </c>
      <c r="D78" s="261">
        <f>SUM(E78:G78)</f>
        <v>0</v>
      </c>
      <c r="E78" s="259">
        <f>'[1]7.Komunikácie'!$AI$5</f>
        <v>0</v>
      </c>
      <c r="F78" s="259">
        <f>'[1]7.Komunikácie'!$AJ$5</f>
        <v>0</v>
      </c>
      <c r="G78" s="260">
        <f>'[1]7.Komunikácie'!$AK$5</f>
        <v>0</v>
      </c>
      <c r="H78" s="261">
        <f>SUM(I78:K78)</f>
        <v>0</v>
      </c>
      <c r="I78" s="259">
        <f>'[1]7.Komunikácie'!$AL$5</f>
        <v>0</v>
      </c>
      <c r="J78" s="259">
        <f>'[1]7.Komunikácie'!$AM$5</f>
        <v>0</v>
      </c>
      <c r="K78" s="260">
        <f>'[1]7.Komunikácie'!$AN$5</f>
        <v>0</v>
      </c>
    </row>
    <row r="79" spans="1:11" ht="15.75" x14ac:dyDescent="0.25">
      <c r="B79" s="273">
        <v>2</v>
      </c>
      <c r="C79" s="274" t="s">
        <v>246</v>
      </c>
      <c r="D79" s="261">
        <f t="shared" ref="D79:D84" si="54">SUM(E79:G79)</f>
        <v>237000</v>
      </c>
      <c r="E79" s="259">
        <f>'[1]7.Komunikácie'!$AI$7</f>
        <v>0</v>
      </c>
      <c r="F79" s="259">
        <f>'[1]7.Komunikácie'!$AJ$7</f>
        <v>237000</v>
      </c>
      <c r="G79" s="260">
        <f>'[1]7.Komunikácie'!$AK$7</f>
        <v>0</v>
      </c>
      <c r="H79" s="261">
        <f t="shared" ref="H79:H84" si="55">SUM(I79:K79)</f>
        <v>75633.320000000007</v>
      </c>
      <c r="I79" s="259">
        <f>'[1]7.Komunikácie'!$AL$7</f>
        <v>0</v>
      </c>
      <c r="J79" s="259">
        <f>'[1]7.Komunikácie'!$AM$7</f>
        <v>75633.320000000007</v>
      </c>
      <c r="K79" s="260">
        <f>'[1]7.Komunikácie'!$AN$7</f>
        <v>0</v>
      </c>
    </row>
    <row r="80" spans="1:11" ht="15.75" x14ac:dyDescent="0.25">
      <c r="B80" s="273">
        <v>3</v>
      </c>
      <c r="C80" s="274" t="s">
        <v>247</v>
      </c>
      <c r="D80" s="261">
        <f t="shared" si="54"/>
        <v>50000</v>
      </c>
      <c r="E80" s="259">
        <f>'[1]7.Komunikácie'!$AI$15</f>
        <v>50000</v>
      </c>
      <c r="F80" s="259">
        <f>'[1]7.Komunikácie'!$AJ$15</f>
        <v>0</v>
      </c>
      <c r="G80" s="260">
        <f>'[1]7.Komunikácie'!$AK$15</f>
        <v>0</v>
      </c>
      <c r="H80" s="261">
        <f t="shared" si="55"/>
        <v>48397.43</v>
      </c>
      <c r="I80" s="259">
        <f>'[1]7.Komunikácie'!$AL$15</f>
        <v>48397.43</v>
      </c>
      <c r="J80" s="259">
        <f>'[1]7.Komunikácie'!$AM$15</f>
        <v>0</v>
      </c>
      <c r="K80" s="260">
        <f>'[1]7.Komunikácie'!$AN$15</f>
        <v>0</v>
      </c>
    </row>
    <row r="81" spans="2:11" ht="15.75" x14ac:dyDescent="0.25">
      <c r="B81" s="273">
        <v>4</v>
      </c>
      <c r="C81" s="274" t="s">
        <v>248</v>
      </c>
      <c r="D81" s="261">
        <f t="shared" si="54"/>
        <v>200000</v>
      </c>
      <c r="E81" s="259">
        <f>'[1]7.Komunikácie'!$AI$17</f>
        <v>200000</v>
      </c>
      <c r="F81" s="259">
        <f>'[1]7.Komunikácie'!$AJ$17</f>
        <v>0</v>
      </c>
      <c r="G81" s="260">
        <f>'[1]7.Komunikácie'!$AK$17</f>
        <v>0</v>
      </c>
      <c r="H81" s="261">
        <f t="shared" si="55"/>
        <v>122798.77</v>
      </c>
      <c r="I81" s="259">
        <f>'[1]7.Komunikácie'!$AL$17</f>
        <v>122798.77</v>
      </c>
      <c r="J81" s="259">
        <f>'[1]7.Komunikácie'!$AM$17</f>
        <v>0</v>
      </c>
      <c r="K81" s="260">
        <f>'[1]7.Komunikácie'!$AN$17</f>
        <v>0</v>
      </c>
    </row>
    <row r="82" spans="2:11" ht="15.75" x14ac:dyDescent="0.25">
      <c r="B82" s="273">
        <v>5</v>
      </c>
      <c r="C82" s="274" t="s">
        <v>249</v>
      </c>
      <c r="D82" s="261">
        <f t="shared" si="54"/>
        <v>93100</v>
      </c>
      <c r="E82" s="259">
        <f>'[1]7.Komunikácie'!$AI$19</f>
        <v>93100</v>
      </c>
      <c r="F82" s="259">
        <f>'[1]7.Komunikácie'!$AJ$19</f>
        <v>0</v>
      </c>
      <c r="G82" s="260">
        <f>'[1]7.Komunikácie'!$AK$19</f>
        <v>0</v>
      </c>
      <c r="H82" s="261">
        <f t="shared" si="55"/>
        <v>28080.67</v>
      </c>
      <c r="I82" s="259">
        <f>'[1]7.Komunikácie'!$AL$19</f>
        <v>28080.67</v>
      </c>
      <c r="J82" s="259">
        <f>'[1]7.Komunikácie'!$AM$19</f>
        <v>0</v>
      </c>
      <c r="K82" s="260">
        <f>'[1]7.Komunikácie'!$AN$19</f>
        <v>0</v>
      </c>
    </row>
    <row r="83" spans="2:11" ht="15.75" x14ac:dyDescent="0.25">
      <c r="B83" s="273">
        <v>6</v>
      </c>
      <c r="C83" s="274" t="s">
        <v>250</v>
      </c>
      <c r="D83" s="261">
        <f t="shared" si="54"/>
        <v>30000</v>
      </c>
      <c r="E83" s="259">
        <f>'[1]7.Komunikácie'!$AI$26</f>
        <v>30000</v>
      </c>
      <c r="F83" s="259">
        <f>'[1]7.Komunikácie'!$AJ$26</f>
        <v>0</v>
      </c>
      <c r="G83" s="260">
        <f>'[1]7.Komunikácie'!$AK$26</f>
        <v>0</v>
      </c>
      <c r="H83" s="261">
        <f t="shared" si="55"/>
        <v>0</v>
      </c>
      <c r="I83" s="259">
        <f>'[1]7.Komunikácie'!$AL$26</f>
        <v>0</v>
      </c>
      <c r="J83" s="259">
        <f>'[1]7.Komunikácie'!$AM$26</f>
        <v>0</v>
      </c>
      <c r="K83" s="260">
        <f>'[1]7.Komunikácie'!$AN$26</f>
        <v>0</v>
      </c>
    </row>
    <row r="84" spans="2:11" ht="15.75" x14ac:dyDescent="0.25">
      <c r="B84" s="273">
        <v>7</v>
      </c>
      <c r="C84" s="274" t="s">
        <v>251</v>
      </c>
      <c r="D84" s="261">
        <f t="shared" si="54"/>
        <v>10000</v>
      </c>
      <c r="E84" s="259">
        <f>'[1]7.Komunikácie'!$AI$28</f>
        <v>10000</v>
      </c>
      <c r="F84" s="259">
        <f>'[1]7.Komunikácie'!$AJ$28</f>
        <v>0</v>
      </c>
      <c r="G84" s="260">
        <f>'[1]7.Komunikácie'!$AK$28</f>
        <v>0</v>
      </c>
      <c r="H84" s="261">
        <f t="shared" si="55"/>
        <v>0</v>
      </c>
      <c r="I84" s="259">
        <f>'[1]7.Komunikácie'!$AL$28</f>
        <v>0</v>
      </c>
      <c r="J84" s="259">
        <f>'[1]7.Komunikácie'!$AM$28</f>
        <v>0</v>
      </c>
      <c r="K84" s="260">
        <f>'[1]7.Komunikácie'!$AN$28</f>
        <v>0</v>
      </c>
    </row>
    <row r="85" spans="2:11" ht="15.75" x14ac:dyDescent="0.25">
      <c r="B85" s="285" t="s">
        <v>252</v>
      </c>
      <c r="C85" s="274" t="s">
        <v>253</v>
      </c>
      <c r="D85" s="261">
        <f t="shared" ref="D85:G85" si="56">SUM(D86:D87)</f>
        <v>2614375</v>
      </c>
      <c r="E85" s="259">
        <f t="shared" si="56"/>
        <v>10375</v>
      </c>
      <c r="F85" s="259">
        <f t="shared" si="56"/>
        <v>2604000</v>
      </c>
      <c r="G85" s="356">
        <f t="shared" si="56"/>
        <v>0</v>
      </c>
      <c r="H85" s="261">
        <f t="shared" ref="H85:K85" si="57">SUM(H86:H87)</f>
        <v>184129.14</v>
      </c>
      <c r="I85" s="259">
        <f t="shared" si="57"/>
        <v>374.32</v>
      </c>
      <c r="J85" s="259">
        <f t="shared" si="57"/>
        <v>183754.82</v>
      </c>
      <c r="K85" s="356">
        <f t="shared" si="57"/>
        <v>0</v>
      </c>
    </row>
    <row r="86" spans="2:11" ht="15.75" x14ac:dyDescent="0.25">
      <c r="B86" s="273">
        <v>1</v>
      </c>
      <c r="C86" s="274" t="s">
        <v>254</v>
      </c>
      <c r="D86" s="261">
        <f>SUM(E86:G86)</f>
        <v>20375</v>
      </c>
      <c r="E86" s="259">
        <f>'[1]7.Komunikácie'!$AI$31</f>
        <v>375</v>
      </c>
      <c r="F86" s="259">
        <f>'[1]7.Komunikácie'!$AJ$31</f>
        <v>20000</v>
      </c>
      <c r="G86" s="260">
        <f>'[1]7.Komunikácie'!$AK$31</f>
        <v>0</v>
      </c>
      <c r="H86" s="261">
        <f>SUM(I86:K86)</f>
        <v>374.32</v>
      </c>
      <c r="I86" s="259">
        <f>'[1]7.Komunikácie'!$AL$31</f>
        <v>374.32</v>
      </c>
      <c r="J86" s="259">
        <f>'[1]7.Komunikácie'!$AM$31</f>
        <v>0</v>
      </c>
      <c r="K86" s="260">
        <f>'[1]7.Komunikácie'!$AN$31</f>
        <v>0</v>
      </c>
    </row>
    <row r="87" spans="2:11" ht="15.75" x14ac:dyDescent="0.25">
      <c r="B87" s="273">
        <v>2</v>
      </c>
      <c r="C87" s="274" t="s">
        <v>255</v>
      </c>
      <c r="D87" s="261">
        <f>SUM(E87:G87)</f>
        <v>2594000</v>
      </c>
      <c r="E87" s="259">
        <f>'[1]7.Komunikácie'!$AI$33</f>
        <v>10000</v>
      </c>
      <c r="F87" s="259">
        <f>'[1]7.Komunikácie'!$AJ$33</f>
        <v>2584000</v>
      </c>
      <c r="G87" s="260">
        <f>'[1]7.Komunikácie'!$AK$33</f>
        <v>0</v>
      </c>
      <c r="H87" s="261">
        <f>SUM(I87:K87)</f>
        <v>183754.82</v>
      </c>
      <c r="I87" s="259">
        <f>'[1]7.Komunikácie'!$AL$33</f>
        <v>0</v>
      </c>
      <c r="J87" s="259">
        <f>'[1]7.Komunikácie'!$AM$33</f>
        <v>183754.82</v>
      </c>
      <c r="K87" s="260">
        <f>'[1]7.Komunikácie'!$AN$33</f>
        <v>0</v>
      </c>
    </row>
    <row r="88" spans="2:11" ht="15.75" outlineLevel="1" x14ac:dyDescent="0.25">
      <c r="B88" s="285" t="s">
        <v>256</v>
      </c>
      <c r="C88" s="274" t="s">
        <v>257</v>
      </c>
      <c r="D88" s="261">
        <f t="shared" ref="D88:G88" si="58">SUM(D89:D90)</f>
        <v>19000</v>
      </c>
      <c r="E88" s="259">
        <f t="shared" si="58"/>
        <v>19000</v>
      </c>
      <c r="F88" s="259">
        <f t="shared" si="58"/>
        <v>0</v>
      </c>
      <c r="G88" s="356">
        <f t="shared" si="58"/>
        <v>0</v>
      </c>
      <c r="H88" s="261">
        <f t="shared" ref="H88:K88" si="59">SUM(H89:H90)</f>
        <v>6748.74</v>
      </c>
      <c r="I88" s="259">
        <f t="shared" si="59"/>
        <v>6748.74</v>
      </c>
      <c r="J88" s="259">
        <f t="shared" si="59"/>
        <v>0</v>
      </c>
      <c r="K88" s="356">
        <f t="shared" si="59"/>
        <v>0</v>
      </c>
    </row>
    <row r="89" spans="2:11" ht="15.75" outlineLevel="1" x14ac:dyDescent="0.25">
      <c r="B89" s="273">
        <v>1</v>
      </c>
      <c r="C89" s="274" t="s">
        <v>258</v>
      </c>
      <c r="D89" s="261">
        <f>SUM(E89:G89)</f>
        <v>19000</v>
      </c>
      <c r="E89" s="259">
        <f>'[1]7.Komunikácie'!$AI$36</f>
        <v>19000</v>
      </c>
      <c r="F89" s="259">
        <f>'[1]7.Komunikácie'!$AJ$36</f>
        <v>0</v>
      </c>
      <c r="G89" s="260">
        <f>'[1]7.Komunikácie'!$AK$36</f>
        <v>0</v>
      </c>
      <c r="H89" s="261">
        <f>SUM(I89:K89)</f>
        <v>6748.74</v>
      </c>
      <c r="I89" s="259">
        <f>'[1]7.Komunikácie'!$AL$36</f>
        <v>6748.74</v>
      </c>
      <c r="J89" s="259">
        <f>'[1]7.Komunikácie'!$AM$36</f>
        <v>0</v>
      </c>
      <c r="K89" s="260">
        <f>'[1]7.Komunikácie'!$AN$36</f>
        <v>0</v>
      </c>
    </row>
    <row r="90" spans="2:11" ht="16.5" outlineLevel="1" thickBot="1" x14ac:dyDescent="0.3">
      <c r="B90" s="275">
        <v>2</v>
      </c>
      <c r="C90" s="276" t="s">
        <v>259</v>
      </c>
      <c r="D90" s="269">
        <f>SUM(E90:G90)</f>
        <v>0</v>
      </c>
      <c r="E90" s="270">
        <f>'[1]7.Komunikácie'!$AI$39</f>
        <v>0</v>
      </c>
      <c r="F90" s="270">
        <f>'[1]7.Komunikácie'!$AJ$39</f>
        <v>0</v>
      </c>
      <c r="G90" s="303">
        <f>'[1]7.Komunikácie'!$AK$39</f>
        <v>0</v>
      </c>
      <c r="H90" s="269">
        <f>'[1]7.Komunikácie'!$AI$39</f>
        <v>0</v>
      </c>
      <c r="I90" s="270">
        <f>'[1]7.Komunikácie'!$AL$39</f>
        <v>0</v>
      </c>
      <c r="J90" s="270">
        <f>'[1]7.Komunikácie'!$AM$39</f>
        <v>0</v>
      </c>
      <c r="K90" s="303">
        <f>'[1]7.Komunikácie'!$AN$39</f>
        <v>0</v>
      </c>
    </row>
    <row r="91" spans="2:11" s="123" customFormat="1" ht="15.75" x14ac:dyDescent="0.25">
      <c r="B91" s="277" t="s">
        <v>260</v>
      </c>
      <c r="C91" s="278"/>
      <c r="D91" s="267">
        <f t="shared" ref="D91:G91" si="60">D92+D93</f>
        <v>282000</v>
      </c>
      <c r="E91" s="268">
        <f t="shared" si="60"/>
        <v>282000</v>
      </c>
      <c r="F91" s="268">
        <f t="shared" si="60"/>
        <v>0</v>
      </c>
      <c r="G91" s="355">
        <f t="shared" si="60"/>
        <v>0</v>
      </c>
      <c r="H91" s="267">
        <f t="shared" ref="H91:K91" si="61">H92+H93</f>
        <v>100000</v>
      </c>
      <c r="I91" s="268">
        <f t="shared" si="61"/>
        <v>100000</v>
      </c>
      <c r="J91" s="268">
        <f t="shared" si="61"/>
        <v>0</v>
      </c>
      <c r="K91" s="355">
        <f t="shared" si="61"/>
        <v>0</v>
      </c>
    </row>
    <row r="92" spans="2:11" ht="15.75" x14ac:dyDescent="0.25">
      <c r="B92" s="285" t="s">
        <v>261</v>
      </c>
      <c r="C92" s="274" t="s">
        <v>262</v>
      </c>
      <c r="D92" s="261">
        <f>SUM(E92:G92)</f>
        <v>282000</v>
      </c>
      <c r="E92" s="259">
        <f>'[1]8.Doprava'!$AI$4</f>
        <v>282000</v>
      </c>
      <c r="F92" s="259">
        <f>'[1]8.Doprava'!$AJ$4</f>
        <v>0</v>
      </c>
      <c r="G92" s="260">
        <f>'[1]8.Doprava'!$AK$4</f>
        <v>0</v>
      </c>
      <c r="H92" s="261">
        <f>SUM(I90:K91)</f>
        <v>100000</v>
      </c>
      <c r="I92" s="259">
        <f>'[1]8.Doprava'!$AL$4</f>
        <v>100000</v>
      </c>
      <c r="J92" s="259">
        <f>'[1]8.Doprava'!$AM$4</f>
        <v>0</v>
      </c>
      <c r="K92" s="260">
        <f>'[1]8.Doprava'!$AN$4</f>
        <v>0</v>
      </c>
    </row>
    <row r="93" spans="2:11" ht="15.75" x14ac:dyDescent="0.25">
      <c r="B93" s="285" t="s">
        <v>263</v>
      </c>
      <c r="C93" s="274" t="s">
        <v>264</v>
      </c>
      <c r="D93" s="261">
        <f>SUM(D94)</f>
        <v>0</v>
      </c>
      <c r="E93" s="259">
        <f t="shared" ref="E93:K93" si="62">SUM(E94)</f>
        <v>0</v>
      </c>
      <c r="F93" s="259">
        <f t="shared" si="62"/>
        <v>0</v>
      </c>
      <c r="G93" s="356">
        <f t="shared" si="62"/>
        <v>0</v>
      </c>
      <c r="H93" s="261">
        <f>SUM(H94)</f>
        <v>0</v>
      </c>
      <c r="I93" s="259">
        <f t="shared" si="62"/>
        <v>0</v>
      </c>
      <c r="J93" s="259">
        <f t="shared" si="62"/>
        <v>0</v>
      </c>
      <c r="K93" s="356">
        <f t="shared" si="62"/>
        <v>0</v>
      </c>
    </row>
    <row r="94" spans="2:11" ht="16.5" thickBot="1" x14ac:dyDescent="0.3">
      <c r="B94" s="275">
        <v>1</v>
      </c>
      <c r="C94" s="276" t="s">
        <v>265</v>
      </c>
      <c r="D94" s="269">
        <f>SUM(E94:G94)</f>
        <v>0</v>
      </c>
      <c r="E94" s="270">
        <f>'[1]8.Doprava'!$AI$7</f>
        <v>0</v>
      </c>
      <c r="F94" s="270">
        <f>'[1]8.Doprava'!$AJ$7</f>
        <v>0</v>
      </c>
      <c r="G94" s="303">
        <f>'[1]8.Doprava'!$AK$7</f>
        <v>0</v>
      </c>
      <c r="H94" s="269">
        <f>SUM(I94:K94)</f>
        <v>0</v>
      </c>
      <c r="I94" s="270">
        <f>'[1]8.Doprava'!$AL$7</f>
        <v>0</v>
      </c>
      <c r="J94" s="270">
        <f>'[1]8.Doprava'!$AM$7</f>
        <v>0</v>
      </c>
      <c r="K94" s="303">
        <f>'[1]8.Doprava'!$AN$7</f>
        <v>0</v>
      </c>
    </row>
    <row r="95" spans="2:11" s="123" customFormat="1" ht="15.75" x14ac:dyDescent="0.25">
      <c r="B95" s="277" t="s">
        <v>266</v>
      </c>
      <c r="C95" s="278"/>
      <c r="D95" s="267">
        <f t="shared" ref="D95:G95" si="63">D96+D97+D106+D113+D116+D117+D118+D119</f>
        <v>18453623</v>
      </c>
      <c r="E95" s="268">
        <f t="shared" si="63"/>
        <v>16897478</v>
      </c>
      <c r="F95" s="268">
        <f t="shared" si="63"/>
        <v>1556145</v>
      </c>
      <c r="G95" s="355">
        <f t="shared" si="63"/>
        <v>0</v>
      </c>
      <c r="H95" s="267">
        <f t="shared" ref="H95:K95" si="64">H96+H97+H106+H113+H116+H117+H118+H119</f>
        <v>5860674.4100000001</v>
      </c>
      <c r="I95" s="268">
        <f t="shared" si="64"/>
        <v>5755662.4100000001</v>
      </c>
      <c r="J95" s="268">
        <f t="shared" si="64"/>
        <v>105012</v>
      </c>
      <c r="K95" s="355">
        <f t="shared" si="64"/>
        <v>0</v>
      </c>
    </row>
    <row r="96" spans="2:11" ht="15.75" x14ac:dyDescent="0.25">
      <c r="B96" s="285" t="s">
        <v>267</v>
      </c>
      <c r="C96" s="274" t="s">
        <v>268</v>
      </c>
      <c r="D96" s="261">
        <f>SUM(E96:G96)</f>
        <v>6000</v>
      </c>
      <c r="E96" s="259">
        <f>'[1]9. Vzdelávanie'!$AI$4</f>
        <v>6000</v>
      </c>
      <c r="F96" s="259">
        <f>'[1]9. Vzdelávanie'!$AJ$4</f>
        <v>0</v>
      </c>
      <c r="G96" s="260">
        <f>'[1]9. Vzdelávanie'!$AK$4</f>
        <v>0</v>
      </c>
      <c r="H96" s="261">
        <f>SUM(I96:K96)</f>
        <v>2959.55</v>
      </c>
      <c r="I96" s="259">
        <f>'[1]9. Vzdelávanie'!$AL$4</f>
        <v>2959.55</v>
      </c>
      <c r="J96" s="259">
        <f>'[1]9. Vzdelávanie'!$AM$4</f>
        <v>0</v>
      </c>
      <c r="K96" s="260">
        <f>'[1]9. Vzdelávanie'!$AN$4</f>
        <v>0</v>
      </c>
    </row>
    <row r="97" spans="1:11" ht="15.75" x14ac:dyDescent="0.25">
      <c r="B97" s="285" t="s">
        <v>269</v>
      </c>
      <c r="C97" s="274" t="s">
        <v>270</v>
      </c>
      <c r="D97" s="261">
        <f t="shared" ref="D97:G97" si="65">SUM(D98:D105)</f>
        <v>3234273</v>
      </c>
      <c r="E97" s="259">
        <f t="shared" si="65"/>
        <v>3037261</v>
      </c>
      <c r="F97" s="259">
        <f t="shared" si="65"/>
        <v>197012</v>
      </c>
      <c r="G97" s="356">
        <f t="shared" si="65"/>
        <v>0</v>
      </c>
      <c r="H97" s="261">
        <f t="shared" ref="H97:K97" si="66">SUM(H98:H105)</f>
        <v>1025500</v>
      </c>
      <c r="I97" s="259">
        <f t="shared" si="66"/>
        <v>1012488</v>
      </c>
      <c r="J97" s="259">
        <f t="shared" si="66"/>
        <v>13012</v>
      </c>
      <c r="K97" s="356">
        <f t="shared" si="66"/>
        <v>0</v>
      </c>
    </row>
    <row r="98" spans="1:11" ht="15.75" x14ac:dyDescent="0.25">
      <c r="B98" s="273">
        <v>1</v>
      </c>
      <c r="C98" s="274" t="s">
        <v>271</v>
      </c>
      <c r="D98" s="261">
        <f>SUM(E98:G98)</f>
        <v>351180</v>
      </c>
      <c r="E98" s="259">
        <f>'[1]9. Vzdelávanie'!$AI$20</f>
        <v>351180</v>
      </c>
      <c r="F98" s="259">
        <f>'[1]9. Vzdelávanie'!$AJ$20</f>
        <v>0</v>
      </c>
      <c r="G98" s="260">
        <f>'[1]9. Vzdelávanie'!$AK$20</f>
        <v>0</v>
      </c>
      <c r="H98" s="261">
        <f>SUM(I98:K98)</f>
        <v>120599</v>
      </c>
      <c r="I98" s="259">
        <f>'[1]9. Vzdelávanie'!$AL$20</f>
        <v>120599</v>
      </c>
      <c r="J98" s="259">
        <f>'[1]9. Vzdelávanie'!$AM$20</f>
        <v>0</v>
      </c>
      <c r="K98" s="260">
        <f>'[1]9. Vzdelávanie'!$AN$20</f>
        <v>0</v>
      </c>
    </row>
    <row r="99" spans="1:11" ht="15.75" x14ac:dyDescent="0.25">
      <c r="B99" s="273">
        <v>2</v>
      </c>
      <c r="C99" s="274" t="s">
        <v>272</v>
      </c>
      <c r="D99" s="261">
        <f t="shared" ref="D99:D105" si="67">SUM(E99:G99)</f>
        <v>519250</v>
      </c>
      <c r="E99" s="259">
        <f>'[1]9. Vzdelávanie'!$AI$23</f>
        <v>511250</v>
      </c>
      <c r="F99" s="259">
        <f>'[1]9. Vzdelávanie'!$AJ$23</f>
        <v>8000</v>
      </c>
      <c r="G99" s="260">
        <f>'[1]9. Vzdelávanie'!$AK$23</f>
        <v>0</v>
      </c>
      <c r="H99" s="261">
        <f t="shared" ref="H99:H105" si="68">SUM(I99:K99)</f>
        <v>167643</v>
      </c>
      <c r="I99" s="259">
        <f>'[1]9. Vzdelávanie'!$AL$23</f>
        <v>167643</v>
      </c>
      <c r="J99" s="259">
        <f>'[1]9. Vzdelávanie'!$AM$23</f>
        <v>0</v>
      </c>
      <c r="K99" s="260">
        <f>'[1]9. Vzdelávanie'!$AN$23</f>
        <v>0</v>
      </c>
    </row>
    <row r="100" spans="1:11" ht="15.75" x14ac:dyDescent="0.25">
      <c r="B100" s="273">
        <v>3</v>
      </c>
      <c r="C100" s="274" t="s">
        <v>273</v>
      </c>
      <c r="D100" s="261">
        <f t="shared" si="67"/>
        <v>832712</v>
      </c>
      <c r="E100" s="259">
        <f>'[1]9. Vzdelávanie'!$AI$26</f>
        <v>832712</v>
      </c>
      <c r="F100" s="259">
        <f>'[1]9. Vzdelávanie'!$AJ$26</f>
        <v>0</v>
      </c>
      <c r="G100" s="260">
        <f>'[1]9. Vzdelávanie'!$AK$26</f>
        <v>0</v>
      </c>
      <c r="H100" s="261">
        <f t="shared" si="68"/>
        <v>276655</v>
      </c>
      <c r="I100" s="259">
        <f>'[1]9. Vzdelávanie'!$AL$26</f>
        <v>276655</v>
      </c>
      <c r="J100" s="259">
        <f>'[1]9. Vzdelávanie'!$AM$26</f>
        <v>0</v>
      </c>
      <c r="K100" s="260">
        <f>'[1]9. Vzdelávanie'!$AN$26</f>
        <v>0</v>
      </c>
    </row>
    <row r="101" spans="1:11" ht="15.75" x14ac:dyDescent="0.25">
      <c r="A101" s="102"/>
      <c r="B101" s="273">
        <v>4</v>
      </c>
      <c r="C101" s="274" t="s">
        <v>422</v>
      </c>
      <c r="D101" s="261">
        <f t="shared" si="67"/>
        <v>0</v>
      </c>
      <c r="E101" s="259">
        <f>'[1]9. Vzdelávanie'!$AI$29</f>
        <v>0</v>
      </c>
      <c r="F101" s="259">
        <f>'[1]9. Vzdelávanie'!$AJ$29</f>
        <v>0</v>
      </c>
      <c r="G101" s="260">
        <f>'[1]9. Vzdelávanie'!$AK$29</f>
        <v>0</v>
      </c>
      <c r="H101" s="261">
        <f t="shared" si="68"/>
        <v>0</v>
      </c>
      <c r="I101" s="259">
        <f>'[1]9. Vzdelávanie'!$AL$29</f>
        <v>0</v>
      </c>
      <c r="J101" s="259">
        <f>'[1]9. Vzdelávanie'!$AM$29</f>
        <v>0</v>
      </c>
      <c r="K101" s="260">
        <f>'[1]9. Vzdelávanie'!$AN$29</f>
        <v>0</v>
      </c>
    </row>
    <row r="102" spans="1:11" ht="15.75" x14ac:dyDescent="0.25">
      <c r="B102" s="273">
        <v>5</v>
      </c>
      <c r="C102" s="274" t="s">
        <v>275</v>
      </c>
      <c r="D102" s="261">
        <f t="shared" si="67"/>
        <v>544865</v>
      </c>
      <c r="E102" s="259">
        <f>'[1]9. Vzdelávanie'!$AI$30</f>
        <v>426865</v>
      </c>
      <c r="F102" s="259">
        <f>'[1]9. Vzdelávanie'!$AJ$30</f>
        <v>118000</v>
      </c>
      <c r="G102" s="260">
        <f>'[1]9. Vzdelávanie'!$AK$30</f>
        <v>0</v>
      </c>
      <c r="H102" s="261">
        <f t="shared" si="68"/>
        <v>145833</v>
      </c>
      <c r="I102" s="259">
        <f>'[1]9. Vzdelávanie'!$AL$30</f>
        <v>145833</v>
      </c>
      <c r="J102" s="259">
        <f>'[1]9. Vzdelávanie'!$AM$30</f>
        <v>0</v>
      </c>
      <c r="K102" s="260">
        <f>'[1]9. Vzdelávanie'!$AN$30</f>
        <v>0</v>
      </c>
    </row>
    <row r="103" spans="1:11" ht="15.75" x14ac:dyDescent="0.25">
      <c r="B103" s="273">
        <v>6</v>
      </c>
      <c r="C103" s="274" t="s">
        <v>276</v>
      </c>
      <c r="D103" s="261">
        <f t="shared" si="67"/>
        <v>472049</v>
      </c>
      <c r="E103" s="259">
        <f>'[1]9. Vzdelávanie'!$AI$33</f>
        <v>459037</v>
      </c>
      <c r="F103" s="259">
        <f>'[1]9. Vzdelávanie'!$AJ$33</f>
        <v>13012</v>
      </c>
      <c r="G103" s="260">
        <f>'[1]9. Vzdelávanie'!$AK$33</f>
        <v>0</v>
      </c>
      <c r="H103" s="261">
        <f t="shared" si="68"/>
        <v>162531</v>
      </c>
      <c r="I103" s="259">
        <f>'[1]9. Vzdelávanie'!$AL$33</f>
        <v>149519</v>
      </c>
      <c r="J103" s="259">
        <f>'[1]9. Vzdelávanie'!$AM$33</f>
        <v>13012</v>
      </c>
      <c r="K103" s="260">
        <f>'[1]9. Vzdelávanie'!$AN$33</f>
        <v>0</v>
      </c>
    </row>
    <row r="104" spans="1:11" ht="15.75" x14ac:dyDescent="0.25">
      <c r="B104" s="273">
        <v>7</v>
      </c>
      <c r="C104" s="274" t="s">
        <v>277</v>
      </c>
      <c r="D104" s="261">
        <f t="shared" si="67"/>
        <v>514217</v>
      </c>
      <c r="E104" s="259">
        <f>'[1]9. Vzdelávanie'!$AI$36</f>
        <v>456217</v>
      </c>
      <c r="F104" s="259">
        <f>'[1]9. Vzdelávanie'!$AJ$36</f>
        <v>58000</v>
      </c>
      <c r="G104" s="260">
        <f>'[1]9. Vzdelávanie'!$AK$36</f>
        <v>0</v>
      </c>
      <c r="H104" s="261">
        <f t="shared" si="68"/>
        <v>152239</v>
      </c>
      <c r="I104" s="259">
        <f>'[1]9. Vzdelávanie'!$AL$36</f>
        <v>152239</v>
      </c>
      <c r="J104" s="259">
        <f>'[1]9. Vzdelávanie'!$AM$36</f>
        <v>0</v>
      </c>
      <c r="K104" s="260">
        <f>'[1]9. Vzdelávanie'!$AN$36</f>
        <v>0</v>
      </c>
    </row>
    <row r="105" spans="1:11" ht="15.75" x14ac:dyDescent="0.25">
      <c r="B105" s="273">
        <v>8</v>
      </c>
      <c r="C105" s="274" t="s">
        <v>430</v>
      </c>
      <c r="D105" s="261">
        <f t="shared" si="67"/>
        <v>0</v>
      </c>
      <c r="E105" s="259">
        <f>'[1]9. Vzdelávanie'!$AI$39</f>
        <v>0</v>
      </c>
      <c r="F105" s="259">
        <f>'[1]9. Vzdelávanie'!$AJ$39</f>
        <v>0</v>
      </c>
      <c r="G105" s="260">
        <f>'[1]9. Vzdelávanie'!$AK$39</f>
        <v>0</v>
      </c>
      <c r="H105" s="261">
        <f t="shared" si="68"/>
        <v>0</v>
      </c>
      <c r="I105" s="259">
        <f>'[1]9. Vzdelávanie'!$AL$39</f>
        <v>0</v>
      </c>
      <c r="J105" s="259">
        <f>'[1]9. Vzdelávanie'!$AM$39</f>
        <v>0</v>
      </c>
      <c r="K105" s="260">
        <f>'[1]9. Vzdelávanie'!$AN$39</f>
        <v>0</v>
      </c>
    </row>
    <row r="106" spans="1:11" ht="15.75" x14ac:dyDescent="0.25">
      <c r="B106" s="285" t="s">
        <v>278</v>
      </c>
      <c r="C106" s="274" t="s">
        <v>279</v>
      </c>
      <c r="D106" s="261">
        <f t="shared" ref="D106:G106" si="69">SUM(D107:D112)</f>
        <v>9306561</v>
      </c>
      <c r="E106" s="259">
        <f t="shared" si="69"/>
        <v>8537561</v>
      </c>
      <c r="F106" s="259">
        <f t="shared" si="69"/>
        <v>769000</v>
      </c>
      <c r="G106" s="356">
        <f t="shared" si="69"/>
        <v>0</v>
      </c>
      <c r="H106" s="261">
        <f t="shared" ref="H106:K106" si="70">SUM(H107:H112)</f>
        <v>2923665</v>
      </c>
      <c r="I106" s="259">
        <f t="shared" si="70"/>
        <v>2831665</v>
      </c>
      <c r="J106" s="259">
        <f>SUM(J107:J112)</f>
        <v>92000</v>
      </c>
      <c r="K106" s="356">
        <f t="shared" si="70"/>
        <v>0</v>
      </c>
    </row>
    <row r="107" spans="1:11" ht="15.75" x14ac:dyDescent="0.25">
      <c r="B107" s="273">
        <v>1</v>
      </c>
      <c r="C107" s="274" t="s">
        <v>280</v>
      </c>
      <c r="D107" s="261">
        <f t="shared" ref="D107:D112" si="71">SUM(E107:G107)</f>
        <v>798820</v>
      </c>
      <c r="E107" s="259">
        <f>'[1]9. Vzdelávanie'!$AI$41</f>
        <v>798820</v>
      </c>
      <c r="F107" s="259">
        <f>'[1]9. Vzdelávanie'!$AJ$41</f>
        <v>0</v>
      </c>
      <c r="G107" s="260">
        <f>'[1]9. Vzdelávanie'!$AK$41</f>
        <v>0</v>
      </c>
      <c r="H107" s="261">
        <f>SUM(I107:K107)</f>
        <v>271283</v>
      </c>
      <c r="I107" s="259">
        <f>'[1]9. Vzdelávanie'!$AL$41</f>
        <v>271283</v>
      </c>
      <c r="J107" s="259">
        <f>'[1]9. Vzdelávanie'!$AM$41</f>
        <v>0</v>
      </c>
      <c r="K107" s="260">
        <f>'[1]9. Vzdelávanie'!$AN$41</f>
        <v>0</v>
      </c>
    </row>
    <row r="108" spans="1:11" ht="15.75" x14ac:dyDescent="0.25">
      <c r="B108" s="273">
        <v>2</v>
      </c>
      <c r="C108" s="274" t="s">
        <v>446</v>
      </c>
      <c r="D108" s="261">
        <f t="shared" si="71"/>
        <v>1550520</v>
      </c>
      <c r="E108" s="259">
        <f>'[1]9. Vzdelávanie'!$AI$45</f>
        <v>1309520</v>
      </c>
      <c r="F108" s="259">
        <f>'[1]9. Vzdelávanie'!$AJ$45</f>
        <v>241000</v>
      </c>
      <c r="G108" s="260">
        <f>'[1]9. Vzdelávanie'!$AK$45</f>
        <v>0</v>
      </c>
      <c r="H108" s="261">
        <f t="shared" ref="H108:H112" si="72">SUM(I108:K108)</f>
        <v>431742</v>
      </c>
      <c r="I108" s="259">
        <f>'[1]9. Vzdelávanie'!$AL$45</f>
        <v>431742</v>
      </c>
      <c r="J108" s="259">
        <f>'[1]9. Vzdelávanie'!$AM$45</f>
        <v>0</v>
      </c>
      <c r="K108" s="260">
        <f>'[1]9. Vzdelávanie'!$AN$45</f>
        <v>0</v>
      </c>
    </row>
    <row r="109" spans="1:11" ht="15.75" x14ac:dyDescent="0.25">
      <c r="A109" s="124"/>
      <c r="B109" s="273">
        <v>3</v>
      </c>
      <c r="C109" s="274" t="s">
        <v>447</v>
      </c>
      <c r="D109" s="261">
        <f t="shared" si="71"/>
        <v>2300805</v>
      </c>
      <c r="E109" s="259">
        <f>'[1]9. Vzdelávanie'!$AI$49</f>
        <v>2167805</v>
      </c>
      <c r="F109" s="259">
        <f>'[1]9. Vzdelávanie'!$AJ$49</f>
        <v>133000</v>
      </c>
      <c r="G109" s="260">
        <f>'[1]9. Vzdelávanie'!$AK$49</f>
        <v>0</v>
      </c>
      <c r="H109" s="261">
        <f t="shared" si="72"/>
        <v>812564</v>
      </c>
      <c r="I109" s="259">
        <f>'[1]9. Vzdelávanie'!$AL$49</f>
        <v>720564</v>
      </c>
      <c r="J109" s="259">
        <f>'[1]9. Vzdelávanie'!$AM$49</f>
        <v>92000</v>
      </c>
      <c r="K109" s="260">
        <f>'[1]9. Vzdelávanie'!$AN$49</f>
        <v>0</v>
      </c>
    </row>
    <row r="110" spans="1:11" ht="15.75" x14ac:dyDescent="0.25">
      <c r="A110" s="124"/>
      <c r="B110" s="273">
        <v>4</v>
      </c>
      <c r="C110" s="274" t="s">
        <v>448</v>
      </c>
      <c r="D110" s="261">
        <f t="shared" si="71"/>
        <v>2296382</v>
      </c>
      <c r="E110" s="259">
        <f>'[1]9. Vzdelávanie'!$AI$54</f>
        <v>1901382</v>
      </c>
      <c r="F110" s="259">
        <f>'[1]9. Vzdelávanie'!$AJ$54</f>
        <v>395000</v>
      </c>
      <c r="G110" s="260">
        <f>'[1]9. Vzdelávanie'!$AK$54</f>
        <v>0</v>
      </c>
      <c r="H110" s="261">
        <f t="shared" si="72"/>
        <v>621676</v>
      </c>
      <c r="I110" s="259">
        <f>'[1]9. Vzdelávanie'!$AL$54</f>
        <v>621676</v>
      </c>
      <c r="J110" s="259">
        <f>'[1]9. Vzdelávanie'!$AM$54</f>
        <v>0</v>
      </c>
      <c r="K110" s="260">
        <f>'[1]9. Vzdelávanie'!$AN$54</f>
        <v>0</v>
      </c>
    </row>
    <row r="111" spans="1:11" ht="15.75" x14ac:dyDescent="0.25">
      <c r="A111" s="124"/>
      <c r="B111" s="273">
        <v>5</v>
      </c>
      <c r="C111" s="274" t="s">
        <v>449</v>
      </c>
      <c r="D111" s="261">
        <f t="shared" si="71"/>
        <v>1516301</v>
      </c>
      <c r="E111" s="259">
        <f>'[1]9. Vzdelávanie'!$AI$57</f>
        <v>1516301</v>
      </c>
      <c r="F111" s="259">
        <f>'[1]9. Vzdelávanie'!$AJ$57</f>
        <v>0</v>
      </c>
      <c r="G111" s="260">
        <f>'[1]9. Vzdelávanie'!$AK$57</f>
        <v>0</v>
      </c>
      <c r="H111" s="261">
        <f t="shared" si="72"/>
        <v>500665</v>
      </c>
      <c r="I111" s="259">
        <f>'[1]9. Vzdelávanie'!$AL$57</f>
        <v>500665</v>
      </c>
      <c r="J111" s="259">
        <f>'[1]9. Vzdelávanie'!$AM$57</f>
        <v>0</v>
      </c>
      <c r="K111" s="260">
        <f>'[1]9. Vzdelávanie'!$AN$57</f>
        <v>0</v>
      </c>
    </row>
    <row r="112" spans="1:11" ht="15.75" x14ac:dyDescent="0.25">
      <c r="A112" s="124"/>
      <c r="B112" s="273">
        <v>6</v>
      </c>
      <c r="C112" s="274" t="s">
        <v>450</v>
      </c>
      <c r="D112" s="261">
        <f t="shared" si="71"/>
        <v>843733</v>
      </c>
      <c r="E112" s="259">
        <f>'[1]9. Vzdelávanie'!$AI$60</f>
        <v>843733</v>
      </c>
      <c r="F112" s="259">
        <f>'[1]9. Vzdelávanie'!$AJ$60</f>
        <v>0</v>
      </c>
      <c r="G112" s="260">
        <f>'[1]9. Vzdelávanie'!$AK$60</f>
        <v>0</v>
      </c>
      <c r="H112" s="261">
        <f t="shared" si="72"/>
        <v>285735</v>
      </c>
      <c r="I112" s="259">
        <f>'[1]9. Vzdelávanie'!$AL$60</f>
        <v>285735</v>
      </c>
      <c r="J112" s="259">
        <f>'[1]9. Vzdelávanie'!$AM$60</f>
        <v>0</v>
      </c>
      <c r="K112" s="260">
        <f>'[1]9. Vzdelávanie'!$AN$60</f>
        <v>0</v>
      </c>
    </row>
    <row r="113" spans="1:11" ht="15.75" x14ac:dyDescent="0.25">
      <c r="A113" s="124"/>
      <c r="B113" s="285" t="s">
        <v>286</v>
      </c>
      <c r="C113" s="274" t="s">
        <v>287</v>
      </c>
      <c r="D113" s="261">
        <f t="shared" ref="D113:F113" si="73">SUM(D114:D115)</f>
        <v>1138900</v>
      </c>
      <c r="E113" s="259">
        <f t="shared" si="73"/>
        <v>1085900</v>
      </c>
      <c r="F113" s="259">
        <f t="shared" si="73"/>
        <v>53000</v>
      </c>
      <c r="G113" s="356">
        <f>SUM(G114:G115)</f>
        <v>0</v>
      </c>
      <c r="H113" s="261">
        <f t="shared" ref="H113:J113" si="74">SUM(H114:H115)</f>
        <v>381601</v>
      </c>
      <c r="I113" s="259">
        <f t="shared" si="74"/>
        <v>381601</v>
      </c>
      <c r="J113" s="259">
        <f t="shared" si="74"/>
        <v>0</v>
      </c>
      <c r="K113" s="356">
        <f>SUM(K114:K115)</f>
        <v>0</v>
      </c>
    </row>
    <row r="114" spans="1:11" ht="15.75" x14ac:dyDescent="0.25">
      <c r="A114" s="124"/>
      <c r="B114" s="273">
        <v>1</v>
      </c>
      <c r="C114" s="274" t="s">
        <v>288</v>
      </c>
      <c r="D114" s="261">
        <f t="shared" ref="D114:D119" si="75">SUM(E114:G114)</f>
        <v>868500</v>
      </c>
      <c r="E114" s="259">
        <f>'[1]9. Vzdelávanie'!$AI$65</f>
        <v>815500</v>
      </c>
      <c r="F114" s="259">
        <f>'[1]9. Vzdelávanie'!$AJ$65</f>
        <v>53000</v>
      </c>
      <c r="G114" s="260">
        <f>'[1]9. Vzdelávanie'!$AK$65</f>
        <v>0</v>
      </c>
      <c r="H114" s="261">
        <f>SUM(I114:K114)</f>
        <v>286036</v>
      </c>
      <c r="I114" s="259">
        <f>'[1]9. Vzdelávanie'!$AL$65</f>
        <v>286036</v>
      </c>
      <c r="J114" s="259">
        <f>'[1]9. Vzdelávanie'!$AM$65</f>
        <v>0</v>
      </c>
      <c r="K114" s="260">
        <f>'[1]9. Vzdelávanie'!$AN$65</f>
        <v>0</v>
      </c>
    </row>
    <row r="115" spans="1:11" ht="15.75" x14ac:dyDescent="0.25">
      <c r="A115" s="124"/>
      <c r="B115" s="273">
        <v>2</v>
      </c>
      <c r="C115" s="274" t="s">
        <v>289</v>
      </c>
      <c r="D115" s="261">
        <f t="shared" si="75"/>
        <v>270400</v>
      </c>
      <c r="E115" s="259">
        <f>'[1]9. Vzdelávanie'!$AI$66</f>
        <v>270400</v>
      </c>
      <c r="F115" s="259">
        <f>'[1]9. Vzdelávanie'!$AJ$66</f>
        <v>0</v>
      </c>
      <c r="G115" s="260">
        <f>'[1]9. Vzdelávanie'!$AK$66</f>
        <v>0</v>
      </c>
      <c r="H115" s="261">
        <f t="shared" ref="H115:H119" si="76">SUM(I115:K115)</f>
        <v>95565</v>
      </c>
      <c r="I115" s="259">
        <f>'[1]9. Vzdelávanie'!$AL$66</f>
        <v>95565</v>
      </c>
      <c r="J115" s="259">
        <f>'[1]9. Vzdelávanie'!$AM$66</f>
        <v>0</v>
      </c>
      <c r="K115" s="260">
        <f>'[1]9. Vzdelávanie'!$AN$66</f>
        <v>0</v>
      </c>
    </row>
    <row r="116" spans="1:11" ht="15.75" x14ac:dyDescent="0.25">
      <c r="A116" s="124"/>
      <c r="B116" s="285" t="s">
        <v>290</v>
      </c>
      <c r="C116" s="274" t="s">
        <v>291</v>
      </c>
      <c r="D116" s="261">
        <f t="shared" si="75"/>
        <v>1152120</v>
      </c>
      <c r="E116" s="259">
        <f>'[1]9. Vzdelávanie'!$AI$67</f>
        <v>1152120</v>
      </c>
      <c r="F116" s="259">
        <f>'[1]9. Vzdelávanie'!$AJ$67</f>
        <v>0</v>
      </c>
      <c r="G116" s="260">
        <f>'[1]9. Vzdelávanie'!$AK$67</f>
        <v>0</v>
      </c>
      <c r="H116" s="261">
        <f t="shared" si="76"/>
        <v>415159.89999999997</v>
      </c>
      <c r="I116" s="259">
        <f>'[1]9. Vzdelávanie'!$AL$67</f>
        <v>415159.89999999997</v>
      </c>
      <c r="J116" s="259">
        <f>'[1]9. Vzdelávanie'!$AM$67</f>
        <v>0</v>
      </c>
      <c r="K116" s="260">
        <f>'[1]9. Vzdelávanie'!$AN$67</f>
        <v>0</v>
      </c>
    </row>
    <row r="117" spans="1:11" ht="15.75" x14ac:dyDescent="0.25">
      <c r="A117" s="124"/>
      <c r="B117" s="285" t="s">
        <v>292</v>
      </c>
      <c r="C117" s="274" t="s">
        <v>293</v>
      </c>
      <c r="D117" s="261">
        <f t="shared" si="75"/>
        <v>1622137</v>
      </c>
      <c r="E117" s="259">
        <f>'[1]9. Vzdelávanie'!$AI$91</f>
        <v>1111992</v>
      </c>
      <c r="F117" s="259">
        <f>'[1]9. Vzdelávanie'!$AJ$91</f>
        <v>510145</v>
      </c>
      <c r="G117" s="260">
        <f>'[1]9. Vzdelávanie'!$AK$91</f>
        <v>0</v>
      </c>
      <c r="H117" s="261">
        <f t="shared" si="76"/>
        <v>352496.33</v>
      </c>
      <c r="I117" s="259">
        <f>'[1]9. Vzdelávanie'!$AL$91</f>
        <v>352496.33</v>
      </c>
      <c r="J117" s="259">
        <f>'[1]9. Vzdelávanie'!$AM$91</f>
        <v>0</v>
      </c>
      <c r="K117" s="260">
        <f>'[1]9. Vzdelávanie'!$AN$91</f>
        <v>0</v>
      </c>
    </row>
    <row r="118" spans="1:11" ht="15.75" x14ac:dyDescent="0.25">
      <c r="A118" s="124"/>
      <c r="B118" s="384" t="s">
        <v>294</v>
      </c>
      <c r="C118" s="385" t="s">
        <v>412</v>
      </c>
      <c r="D118" s="261">
        <f t="shared" si="75"/>
        <v>642602</v>
      </c>
      <c r="E118" s="259">
        <f>'[1]9. Vzdelávanie'!$AI$92</f>
        <v>615614</v>
      </c>
      <c r="F118" s="259">
        <f>'[1]9. Vzdelávanie'!$AJ$92</f>
        <v>26988</v>
      </c>
      <c r="G118" s="260">
        <f>'[1]9. Vzdelávanie'!$AK$92</f>
        <v>0</v>
      </c>
      <c r="H118" s="261">
        <f t="shared" si="76"/>
        <v>81558.2</v>
      </c>
      <c r="I118" s="259">
        <f>'[1]9. Vzdelávanie'!$AL$92</f>
        <v>81558.2</v>
      </c>
      <c r="J118" s="259">
        <f>'[1]9. Vzdelávanie'!$AM$92</f>
        <v>0</v>
      </c>
      <c r="K118" s="260">
        <f>'[1]9. Vzdelávanie'!$AN$92</f>
        <v>0</v>
      </c>
    </row>
    <row r="119" spans="1:11" ht="16.5" thickBot="1" x14ac:dyDescent="0.3">
      <c r="A119" s="124"/>
      <c r="B119" s="383" t="s">
        <v>457</v>
      </c>
      <c r="C119" s="364" t="s">
        <v>458</v>
      </c>
      <c r="D119" s="269">
        <f t="shared" si="75"/>
        <v>1351030</v>
      </c>
      <c r="E119" s="270">
        <f>'[1]9. Vzdelávanie'!$AI$99</f>
        <v>1351030</v>
      </c>
      <c r="F119" s="270">
        <f>'[1]9. Vzdelávanie'!$AJ$99</f>
        <v>0</v>
      </c>
      <c r="G119" s="303">
        <f>'[1]9. Vzdelávanie'!$AK$99</f>
        <v>0</v>
      </c>
      <c r="H119" s="261">
        <f t="shared" si="76"/>
        <v>677734.43</v>
      </c>
      <c r="I119" s="270">
        <f>'[1]9. Vzdelávanie'!$AL$99</f>
        <v>677734.43</v>
      </c>
      <c r="J119" s="270">
        <f>'[1]9. Vzdelávanie'!$AM$99</f>
        <v>0</v>
      </c>
      <c r="K119" s="303">
        <f>'[1]9. Vzdelávanie'!$AN$99</f>
        <v>0</v>
      </c>
    </row>
    <row r="120" spans="1:11" s="123" customFormat="1" ht="15.75" x14ac:dyDescent="0.25">
      <c r="A120" s="125"/>
      <c r="B120" s="277" t="s">
        <v>296</v>
      </c>
      <c r="C120" s="284"/>
      <c r="D120" s="267">
        <f t="shared" ref="D120:G120" si="77">D121+D122+D130</f>
        <v>1024600</v>
      </c>
      <c r="E120" s="268">
        <f t="shared" si="77"/>
        <v>468910</v>
      </c>
      <c r="F120" s="268">
        <f t="shared" si="77"/>
        <v>555690</v>
      </c>
      <c r="G120" s="355">
        <f t="shared" si="77"/>
        <v>0</v>
      </c>
      <c r="H120" s="267">
        <f t="shared" ref="H120:K120" si="78">H121+H122+H130</f>
        <v>164075.60999999999</v>
      </c>
      <c r="I120" s="268">
        <f t="shared" si="78"/>
        <v>164075.60999999999</v>
      </c>
      <c r="J120" s="268">
        <f t="shared" si="78"/>
        <v>0</v>
      </c>
      <c r="K120" s="355">
        <f t="shared" si="78"/>
        <v>0</v>
      </c>
    </row>
    <row r="121" spans="1:11" ht="15.75" x14ac:dyDescent="0.25">
      <c r="B121" s="285" t="s">
        <v>297</v>
      </c>
      <c r="C121" s="274" t="s">
        <v>298</v>
      </c>
      <c r="D121" s="261">
        <f>SUM(E121:G121)</f>
        <v>5000</v>
      </c>
      <c r="E121" s="259">
        <f>'[1]10. Šport'!$AI$4</f>
        <v>5000</v>
      </c>
      <c r="F121" s="259">
        <f>'[1]10. Šport'!$AJ$4</f>
        <v>0</v>
      </c>
      <c r="G121" s="260">
        <f>'[1]10. Šport'!$AK$4</f>
        <v>0</v>
      </c>
      <c r="H121" s="261">
        <f>SUM(I121:K121)</f>
        <v>0</v>
      </c>
      <c r="I121" s="259">
        <f>'[1]10. Šport'!$AL$4</f>
        <v>0</v>
      </c>
      <c r="J121" s="259">
        <f>'[1]10. Šport'!$AM$4</f>
        <v>0</v>
      </c>
      <c r="K121" s="260">
        <f>'[1]10. Šport'!$AN$4</f>
        <v>0</v>
      </c>
    </row>
    <row r="122" spans="1:11" ht="15.75" x14ac:dyDescent="0.25">
      <c r="B122" s="285" t="s">
        <v>299</v>
      </c>
      <c r="C122" s="274" t="s">
        <v>300</v>
      </c>
      <c r="D122" s="261">
        <f t="shared" ref="D122:G122" si="79">SUM(D123:D129)</f>
        <v>1014600</v>
      </c>
      <c r="E122" s="259">
        <f t="shared" si="79"/>
        <v>458910</v>
      </c>
      <c r="F122" s="259">
        <f t="shared" si="79"/>
        <v>555690</v>
      </c>
      <c r="G122" s="356">
        <f t="shared" si="79"/>
        <v>0</v>
      </c>
      <c r="H122" s="261">
        <f t="shared" ref="H122:K122" si="80">SUM(H123:H129)</f>
        <v>162275.60999999999</v>
      </c>
      <c r="I122" s="259">
        <f t="shared" si="80"/>
        <v>162275.60999999999</v>
      </c>
      <c r="J122" s="259">
        <f t="shared" si="80"/>
        <v>0</v>
      </c>
      <c r="K122" s="356">
        <f t="shared" si="80"/>
        <v>0</v>
      </c>
    </row>
    <row r="123" spans="1:11" ht="15.75" x14ac:dyDescent="0.25">
      <c r="B123" s="273">
        <v>1</v>
      </c>
      <c r="C123" s="274" t="s">
        <v>301</v>
      </c>
      <c r="D123" s="261">
        <f>SUM(E123:G123)</f>
        <v>68200</v>
      </c>
      <c r="E123" s="259">
        <f>'[1]10. Šport'!$AI$12</f>
        <v>68200</v>
      </c>
      <c r="F123" s="259">
        <f>'[1]10. Šport'!$AJ$12</f>
        <v>0</v>
      </c>
      <c r="G123" s="260">
        <f>'[1]10. Šport'!$AK$12</f>
        <v>0</v>
      </c>
      <c r="H123" s="261">
        <f>SUM(I123:K123)</f>
        <v>27118.979999999996</v>
      </c>
      <c r="I123" s="259">
        <f>'[1]10. Šport'!$AL$12</f>
        <v>27118.979999999996</v>
      </c>
      <c r="J123" s="259">
        <f>'[1]10. Šport'!$AM$12</f>
        <v>0</v>
      </c>
      <c r="K123" s="260">
        <f>'[1]10. Šport'!$AN$12</f>
        <v>0</v>
      </c>
    </row>
    <row r="124" spans="1:11" ht="15.75" x14ac:dyDescent="0.25">
      <c r="B124" s="273">
        <v>2</v>
      </c>
      <c r="C124" s="274" t="s">
        <v>302</v>
      </c>
      <c r="D124" s="261">
        <f t="shared" ref="D124:D130" si="81">SUM(E124:G124)</f>
        <v>80010</v>
      </c>
      <c r="E124" s="259">
        <f>'[1]10. Šport'!$AI$32</f>
        <v>80010</v>
      </c>
      <c r="F124" s="259">
        <f>'[1]10. Šport'!$AJ$32</f>
        <v>0</v>
      </c>
      <c r="G124" s="260">
        <f>'[1]10. Šport'!$AK$32</f>
        <v>0</v>
      </c>
      <c r="H124" s="261">
        <f t="shared" ref="H124:H130" si="82">SUM(I124:K124)</f>
        <v>24585.309999999998</v>
      </c>
      <c r="I124" s="259">
        <f>'[1]10. Šport'!$AL$32</f>
        <v>24585.309999999998</v>
      </c>
      <c r="J124" s="259">
        <f>'[1]10. Šport'!$AM$32</f>
        <v>0</v>
      </c>
      <c r="K124" s="260">
        <f>'[1]10. Šport'!$AN$32</f>
        <v>0</v>
      </c>
    </row>
    <row r="125" spans="1:11" ht="15.75" x14ac:dyDescent="0.25">
      <c r="B125" s="273">
        <v>3</v>
      </c>
      <c r="C125" s="274" t="s">
        <v>303</v>
      </c>
      <c r="D125" s="261">
        <f t="shared" si="81"/>
        <v>23500</v>
      </c>
      <c r="E125" s="259">
        <f>'[1]10. Šport'!$AI$54</f>
        <v>23500</v>
      </c>
      <c r="F125" s="259">
        <f>'[1]10. Šport'!$AJ$54</f>
        <v>0</v>
      </c>
      <c r="G125" s="260">
        <f>'[1]10. Šport'!$AK$54</f>
        <v>0</v>
      </c>
      <c r="H125" s="261">
        <f t="shared" si="82"/>
        <v>13369.12</v>
      </c>
      <c r="I125" s="259">
        <f>'[1]10. Šport'!$AL$54</f>
        <v>13369.12</v>
      </c>
      <c r="J125" s="259">
        <f>'[1]10. Šport'!$AM$54</f>
        <v>0</v>
      </c>
      <c r="K125" s="260">
        <f>'[1]10. Šport'!$AN$54</f>
        <v>0</v>
      </c>
    </row>
    <row r="126" spans="1:11" ht="15.75" x14ac:dyDescent="0.25">
      <c r="B126" s="273">
        <v>4</v>
      </c>
      <c r="C126" s="274" t="s">
        <v>304</v>
      </c>
      <c r="D126" s="261">
        <f t="shared" si="81"/>
        <v>263300</v>
      </c>
      <c r="E126" s="259">
        <f>'[1]10. Šport'!$AI$66</f>
        <v>263300</v>
      </c>
      <c r="F126" s="259">
        <f>'[1]10. Šport'!$AJ$66</f>
        <v>0</v>
      </c>
      <c r="G126" s="260">
        <f>'[1]10. Šport'!$AK$66</f>
        <v>0</v>
      </c>
      <c r="H126" s="261">
        <f t="shared" si="82"/>
        <v>87427.589999999982</v>
      </c>
      <c r="I126" s="259">
        <f>'[1]10. Šport'!$AL$66</f>
        <v>87427.589999999982</v>
      </c>
      <c r="J126" s="259">
        <f>'[1]10. Šport'!$AM$66</f>
        <v>0</v>
      </c>
      <c r="K126" s="260">
        <f>'[1]10. Šport'!$AN$66</f>
        <v>0</v>
      </c>
    </row>
    <row r="127" spans="1:11" ht="15.75" x14ac:dyDescent="0.25">
      <c r="B127" s="273">
        <v>5</v>
      </c>
      <c r="C127" s="274" t="s">
        <v>305</v>
      </c>
      <c r="D127" s="261">
        <f t="shared" si="81"/>
        <v>17590</v>
      </c>
      <c r="E127" s="259">
        <f>'[1]10. Šport'!$AI$89</f>
        <v>11900</v>
      </c>
      <c r="F127" s="259">
        <f>'[1]10. Šport'!$AJ$89</f>
        <v>5690</v>
      </c>
      <c r="G127" s="260">
        <f>'[1]10. Šport'!$AK$89</f>
        <v>0</v>
      </c>
      <c r="H127" s="261">
        <f t="shared" si="82"/>
        <v>3199.6900000000005</v>
      </c>
      <c r="I127" s="259">
        <f>'[1]10. Šport'!$AL$89</f>
        <v>3199.6900000000005</v>
      </c>
      <c r="J127" s="259">
        <f>'[1]10. Šport'!$AM$89</f>
        <v>0</v>
      </c>
      <c r="K127" s="260">
        <f>'[1]10. Šport'!$AN$89</f>
        <v>0</v>
      </c>
    </row>
    <row r="128" spans="1:11" ht="15.75" x14ac:dyDescent="0.25">
      <c r="B128" s="289">
        <v>6</v>
      </c>
      <c r="C128" s="290" t="s">
        <v>386</v>
      </c>
      <c r="D128" s="261">
        <f t="shared" si="81"/>
        <v>551000</v>
      </c>
      <c r="E128" s="259">
        <f>'[1]10. Šport'!$AI$97</f>
        <v>1000</v>
      </c>
      <c r="F128" s="259">
        <f>'[1]10. Šport'!$AJ$97</f>
        <v>550000</v>
      </c>
      <c r="G128" s="260">
        <f>'[1]10. Šport'!$AK$97</f>
        <v>0</v>
      </c>
      <c r="H128" s="261">
        <f t="shared" si="82"/>
        <v>148.63999999999999</v>
      </c>
      <c r="I128" s="259">
        <f>'[1]10. Šport'!$AL$97</f>
        <v>148.63999999999999</v>
      </c>
      <c r="J128" s="259">
        <f>'[1]10. Šport'!$AM$97</f>
        <v>0</v>
      </c>
      <c r="K128" s="260">
        <f>'[1]10. Šport'!$AN$97</f>
        <v>0</v>
      </c>
    </row>
    <row r="129" spans="2:11" ht="15.75" x14ac:dyDescent="0.25">
      <c r="B129" s="289">
        <v>7</v>
      </c>
      <c r="C129" s="290" t="s">
        <v>455</v>
      </c>
      <c r="D129" s="261">
        <f t="shared" si="81"/>
        <v>11000</v>
      </c>
      <c r="E129" s="259">
        <f>'[1]10. Šport'!$AI$103</f>
        <v>11000</v>
      </c>
      <c r="F129" s="259">
        <f>'[1]10. Šport'!$AJ$103</f>
        <v>0</v>
      </c>
      <c r="G129" s="260">
        <f>'[1]10. Šport'!$AK$103</f>
        <v>0</v>
      </c>
      <c r="H129" s="261">
        <f t="shared" si="82"/>
        <v>6426.28</v>
      </c>
      <c r="I129" s="259">
        <f>'[1]10. Šport'!$AL$103</f>
        <v>6426.28</v>
      </c>
      <c r="J129" s="259">
        <f>'[1]10. Šport'!$AM$103</f>
        <v>0</v>
      </c>
      <c r="K129" s="260">
        <f>'[1]10. Šport'!$AN$103</f>
        <v>0</v>
      </c>
    </row>
    <row r="130" spans="2:11" ht="16.5" thickBot="1" x14ac:dyDescent="0.3">
      <c r="B130" s="280" t="s">
        <v>306</v>
      </c>
      <c r="C130" s="276" t="s">
        <v>307</v>
      </c>
      <c r="D130" s="269">
        <f t="shared" si="81"/>
        <v>5000</v>
      </c>
      <c r="E130" s="270">
        <f>'[1]10. Šport'!$AI$111</f>
        <v>5000</v>
      </c>
      <c r="F130" s="270">
        <f>'[1]10. Šport'!$AJ$111</f>
        <v>0</v>
      </c>
      <c r="G130" s="303">
        <f>'[1]10. Šport'!$AK$111</f>
        <v>0</v>
      </c>
      <c r="H130" s="261">
        <f t="shared" si="82"/>
        <v>1800</v>
      </c>
      <c r="I130" s="270">
        <f>'[1]10. Šport'!$AL$111</f>
        <v>1800</v>
      </c>
      <c r="J130" s="270">
        <f>'[1]10. Šport'!$AM$111</f>
        <v>0</v>
      </c>
      <c r="K130" s="303">
        <f>'[1]10. Šport'!$AN$111</f>
        <v>0</v>
      </c>
    </row>
    <row r="131" spans="2:11" s="123" customFormat="1" ht="15.75" x14ac:dyDescent="0.25">
      <c r="B131" s="277" t="s">
        <v>308</v>
      </c>
      <c r="C131" s="284"/>
      <c r="D131" s="267">
        <f t="shared" ref="D131:G131" si="83">D132+D133+D138+D139</f>
        <v>1772987</v>
      </c>
      <c r="E131" s="268">
        <f t="shared" si="83"/>
        <v>1049093</v>
      </c>
      <c r="F131" s="268">
        <f t="shared" si="83"/>
        <v>723894</v>
      </c>
      <c r="G131" s="355">
        <f t="shared" si="83"/>
        <v>0</v>
      </c>
      <c r="H131" s="267">
        <f t="shared" ref="H131:K131" si="84">H132+H133+H138+H139</f>
        <v>531094.68000000005</v>
      </c>
      <c r="I131" s="268">
        <f t="shared" si="84"/>
        <v>284502.75999999995</v>
      </c>
      <c r="J131" s="268">
        <f t="shared" si="84"/>
        <v>246591.92</v>
      </c>
      <c r="K131" s="355">
        <f t="shared" si="84"/>
        <v>0</v>
      </c>
    </row>
    <row r="132" spans="2:11" ht="15.75" x14ac:dyDescent="0.25">
      <c r="B132" s="285" t="s">
        <v>309</v>
      </c>
      <c r="C132" s="274" t="s">
        <v>310</v>
      </c>
      <c r="D132" s="261">
        <f>SUM(E132:G132)</f>
        <v>19250</v>
      </c>
      <c r="E132" s="259">
        <f>'[1]11. Kultúra'!$AI$4</f>
        <v>19250</v>
      </c>
      <c r="F132" s="259">
        <f>'[1]11. Kultúra'!$AJ$4</f>
        <v>0</v>
      </c>
      <c r="G132" s="260">
        <f>'[1]11. Kultúra'!$AK$4</f>
        <v>0</v>
      </c>
      <c r="H132" s="261">
        <f>SUM(I132:K132)</f>
        <v>1817.7800000000002</v>
      </c>
      <c r="I132" s="259">
        <f>'[1]11. Kultúra'!$AL$4</f>
        <v>1817.7800000000002</v>
      </c>
      <c r="J132" s="259">
        <f>'[1]11. Kultúra'!$AM$4</f>
        <v>0</v>
      </c>
      <c r="K132" s="260">
        <f>'[1]11. Kultúra'!$AN$4</f>
        <v>0</v>
      </c>
    </row>
    <row r="133" spans="2:11" ht="15.75" x14ac:dyDescent="0.25">
      <c r="B133" s="285" t="s">
        <v>311</v>
      </c>
      <c r="C133" s="274" t="s">
        <v>312</v>
      </c>
      <c r="D133" s="261">
        <f t="shared" ref="D133:G133" si="85">SUM(D134:D137)</f>
        <v>1348237</v>
      </c>
      <c r="E133" s="259">
        <f t="shared" si="85"/>
        <v>1024343</v>
      </c>
      <c r="F133" s="259">
        <f t="shared" si="85"/>
        <v>323894</v>
      </c>
      <c r="G133" s="356">
        <f t="shared" si="85"/>
        <v>0</v>
      </c>
      <c r="H133" s="261">
        <f t="shared" ref="H133:K133" si="86">SUM(H134:H137)</f>
        <v>528676.9</v>
      </c>
      <c r="I133" s="259">
        <f t="shared" si="86"/>
        <v>282084.97999999992</v>
      </c>
      <c r="J133" s="259">
        <f t="shared" si="86"/>
        <v>246591.92</v>
      </c>
      <c r="K133" s="356">
        <f t="shared" si="86"/>
        <v>0</v>
      </c>
    </row>
    <row r="134" spans="2:11" ht="15.75" x14ac:dyDescent="0.25">
      <c r="B134" s="273">
        <v>1</v>
      </c>
      <c r="C134" s="274" t="s">
        <v>313</v>
      </c>
      <c r="D134" s="261">
        <f t="shared" ref="D134:D139" si="87">SUM(E134:G134)</f>
        <v>205500</v>
      </c>
      <c r="E134" s="259">
        <f>'[1]11. Kultúra'!$AI$20</f>
        <v>205500</v>
      </c>
      <c r="F134" s="259">
        <f>'[1]11. Kultúra'!$AJ$20</f>
        <v>0</v>
      </c>
      <c r="G134" s="260">
        <f>'[1]11. Kultúra'!$AK$20</f>
        <v>0</v>
      </c>
      <c r="H134" s="261">
        <f>SUM(I134:K134)</f>
        <v>64485.79</v>
      </c>
      <c r="I134" s="259">
        <f>'[1]11. Kultúra'!$AL$20</f>
        <v>64485.79</v>
      </c>
      <c r="J134" s="259">
        <f>'[1]11. Kultúra'!$AM$20</f>
        <v>0</v>
      </c>
      <c r="K134" s="260">
        <f>'[1]11. Kultúra'!$AN$20</f>
        <v>0</v>
      </c>
    </row>
    <row r="135" spans="2:11" ht="15.75" x14ac:dyDescent="0.25">
      <c r="B135" s="273">
        <v>2</v>
      </c>
      <c r="C135" s="274" t="s">
        <v>314</v>
      </c>
      <c r="D135" s="261">
        <f t="shared" si="87"/>
        <v>45350</v>
      </c>
      <c r="E135" s="259">
        <f>'[1]11. Kultúra'!$AI$27</f>
        <v>7700</v>
      </c>
      <c r="F135" s="259">
        <f>'[1]11. Kultúra'!$AJ$27</f>
        <v>37650</v>
      </c>
      <c r="G135" s="260">
        <f>'[1]11. Kultúra'!$AK$27</f>
        <v>0</v>
      </c>
      <c r="H135" s="261">
        <f t="shared" ref="H135:H139" si="88">SUM(I135:K135)</f>
        <v>658.9</v>
      </c>
      <c r="I135" s="259">
        <f>'[1]11. Kultúra'!$AL$27</f>
        <v>658.9</v>
      </c>
      <c r="J135" s="259">
        <f>'[1]11. Kultúra'!$AM$27</f>
        <v>0</v>
      </c>
      <c r="K135" s="260">
        <f>'[1]11. Kultúra'!$AN$27</f>
        <v>0</v>
      </c>
    </row>
    <row r="136" spans="2:11" ht="15.75" x14ac:dyDescent="0.25">
      <c r="B136" s="273">
        <v>3</v>
      </c>
      <c r="C136" s="274" t="s">
        <v>315</v>
      </c>
      <c r="D136" s="261">
        <f t="shared" si="87"/>
        <v>1082087</v>
      </c>
      <c r="E136" s="259">
        <f>'[1]11. Kultúra'!$AI$37</f>
        <v>795843</v>
      </c>
      <c r="F136" s="259">
        <f>'[1]11. Kultúra'!$AJ$37</f>
        <v>286244</v>
      </c>
      <c r="G136" s="260">
        <f>'[1]11. Kultúra'!$AK$37</f>
        <v>0</v>
      </c>
      <c r="H136" s="261">
        <f t="shared" si="88"/>
        <v>460169.29999999993</v>
      </c>
      <c r="I136" s="259">
        <f>'[1]11. Kultúra'!$AL$37</f>
        <v>213577.37999999995</v>
      </c>
      <c r="J136" s="259">
        <f>'[1]11. Kultúra'!$AM$37</f>
        <v>246591.92</v>
      </c>
      <c r="K136" s="260">
        <f>'[1]11. Kultúra'!$AN$37</f>
        <v>0</v>
      </c>
    </row>
    <row r="137" spans="2:11" ht="15.75" x14ac:dyDescent="0.25">
      <c r="B137" s="273">
        <v>4</v>
      </c>
      <c r="C137" s="274" t="s">
        <v>316</v>
      </c>
      <c r="D137" s="261">
        <f t="shared" si="87"/>
        <v>15300</v>
      </c>
      <c r="E137" s="259">
        <f>'[1]11. Kultúra'!$AI$126</f>
        <v>15300</v>
      </c>
      <c r="F137" s="259">
        <f>'[1]11. Kultúra'!$AJ$126</f>
        <v>0</v>
      </c>
      <c r="G137" s="260">
        <f>'[1]11. Kultúra'!$AK$126</f>
        <v>0</v>
      </c>
      <c r="H137" s="261">
        <f t="shared" si="88"/>
        <v>3362.91</v>
      </c>
      <c r="I137" s="259">
        <f>'[1]11. Kultúra'!$AL$126</f>
        <v>3362.91</v>
      </c>
      <c r="J137" s="259">
        <f>'[1]11. Kultúra'!$AM$126</f>
        <v>0</v>
      </c>
      <c r="K137" s="260">
        <f>'[1]11. Kultúra'!$AN$126</f>
        <v>0</v>
      </c>
    </row>
    <row r="138" spans="2:11" ht="15.75" x14ac:dyDescent="0.25">
      <c r="B138" s="285" t="s">
        <v>317</v>
      </c>
      <c r="C138" s="274" t="s">
        <v>318</v>
      </c>
      <c r="D138" s="261">
        <f t="shared" si="87"/>
        <v>400500</v>
      </c>
      <c r="E138" s="259">
        <f>'[1]11. Kultúra'!$AI$141</f>
        <v>500</v>
      </c>
      <c r="F138" s="259">
        <f>'[1]11. Kultúra'!$AJ$141</f>
        <v>400000</v>
      </c>
      <c r="G138" s="260">
        <f>'[1]11. Kultúra'!$AK$141</f>
        <v>0</v>
      </c>
      <c r="H138" s="261">
        <f t="shared" si="88"/>
        <v>0</v>
      </c>
      <c r="I138" s="259">
        <f>'[1]11. Kultúra'!$AL$141</f>
        <v>0</v>
      </c>
      <c r="J138" s="259">
        <f>'[1]11. Kultúra'!$AM$141</f>
        <v>0</v>
      </c>
      <c r="K138" s="260">
        <f>'[1]11. Kultúra'!$AN$141</f>
        <v>0</v>
      </c>
    </row>
    <row r="139" spans="2:11" ht="16.5" thickBot="1" x14ac:dyDescent="0.3">
      <c r="B139" s="280" t="s">
        <v>319</v>
      </c>
      <c r="C139" s="276" t="s">
        <v>320</v>
      </c>
      <c r="D139" s="269">
        <f t="shared" si="87"/>
        <v>5000</v>
      </c>
      <c r="E139" s="366">
        <f>'[1]11. Kultúra'!$AI$144</f>
        <v>5000</v>
      </c>
      <c r="F139" s="366">
        <f>'[1]11. Kultúra'!$AJ$144</f>
        <v>0</v>
      </c>
      <c r="G139" s="367">
        <f>'[1]11. Kultúra'!$AK$144</f>
        <v>0</v>
      </c>
      <c r="H139" s="261">
        <f t="shared" si="88"/>
        <v>600</v>
      </c>
      <c r="I139" s="366">
        <f>'[1]11. Kultúra'!$AL$144</f>
        <v>600</v>
      </c>
      <c r="J139" s="366">
        <f>'[1]11. Kultúra'!$AM$144</f>
        <v>0</v>
      </c>
      <c r="K139" s="367">
        <f>'[1]11. Kultúra'!$AN$144</f>
        <v>0</v>
      </c>
    </row>
    <row r="140" spans="2:11" s="123" customFormat="1" ht="15.75" x14ac:dyDescent="0.25">
      <c r="B140" s="277" t="s">
        <v>321</v>
      </c>
      <c r="C140" s="284"/>
      <c r="D140" s="267">
        <f t="shared" ref="D140:G140" si="89">D141+D146+D147+D148+D149+D150+D151</f>
        <v>1430930</v>
      </c>
      <c r="E140" s="268">
        <f>E141+E146+E147+E148+E149+E150+E151</f>
        <v>878200</v>
      </c>
      <c r="F140" s="268">
        <f t="shared" si="89"/>
        <v>552730</v>
      </c>
      <c r="G140" s="355">
        <f t="shared" si="89"/>
        <v>0</v>
      </c>
      <c r="H140" s="267">
        <f t="shared" ref="H140:K140" si="90">H141+H146+H147+H148+H149+H150+H151</f>
        <v>58758.5</v>
      </c>
      <c r="I140" s="268">
        <f t="shared" si="90"/>
        <v>58758.5</v>
      </c>
      <c r="J140" s="268">
        <f t="shared" si="90"/>
        <v>0</v>
      </c>
      <c r="K140" s="355">
        <f t="shared" si="90"/>
        <v>0</v>
      </c>
    </row>
    <row r="141" spans="2:11" ht="15.75" x14ac:dyDescent="0.25">
      <c r="B141" s="285" t="s">
        <v>322</v>
      </c>
      <c r="C141" s="274" t="s">
        <v>323</v>
      </c>
      <c r="D141" s="261">
        <f t="shared" ref="D141:G141" si="91">SUM(D142:D145)</f>
        <v>545800</v>
      </c>
      <c r="E141" s="259">
        <f t="shared" si="91"/>
        <v>545800</v>
      </c>
      <c r="F141" s="259">
        <f t="shared" si="91"/>
        <v>0</v>
      </c>
      <c r="G141" s="356">
        <f t="shared" si="91"/>
        <v>0</v>
      </c>
      <c r="H141" s="261">
        <f t="shared" ref="H141:K141" si="92">SUM(H142:H145)</f>
        <v>37739.480000000003</v>
      </c>
      <c r="I141" s="259">
        <f t="shared" si="92"/>
        <v>37739.480000000003</v>
      </c>
      <c r="J141" s="259">
        <f t="shared" si="92"/>
        <v>0</v>
      </c>
      <c r="K141" s="356">
        <f t="shared" si="92"/>
        <v>0</v>
      </c>
    </row>
    <row r="142" spans="2:11" ht="15.75" x14ac:dyDescent="0.25">
      <c r="B142" s="273">
        <v>1</v>
      </c>
      <c r="C142" s="274" t="s">
        <v>324</v>
      </c>
      <c r="D142" s="261">
        <f>SUM(E142:G142)</f>
        <v>538000</v>
      </c>
      <c r="E142" s="259">
        <f>'[1]12. Prostredie pre život'!$AI$5</f>
        <v>538000</v>
      </c>
      <c r="F142" s="259">
        <f>'[1]12. Prostredie pre život'!$AJ$5</f>
        <v>0</v>
      </c>
      <c r="G142" s="260">
        <f>'[1]12. Prostredie pre život'!$AK$5</f>
        <v>0</v>
      </c>
      <c r="H142" s="261">
        <f>SUM(I142:K142)</f>
        <v>33889.480000000003</v>
      </c>
      <c r="I142" s="259">
        <f>'[1]12. Prostredie pre život'!$AL$5</f>
        <v>33889.480000000003</v>
      </c>
      <c r="J142" s="259">
        <f>'[1]12. Prostredie pre život'!$AM$5</f>
        <v>0</v>
      </c>
      <c r="K142" s="260">
        <f>'[1]12. Prostredie pre život'!$AN$5</f>
        <v>0</v>
      </c>
    </row>
    <row r="143" spans="2:11" ht="15.75" x14ac:dyDescent="0.25">
      <c r="B143" s="273">
        <v>2</v>
      </c>
      <c r="C143" s="274" t="s">
        <v>325</v>
      </c>
      <c r="D143" s="261">
        <f t="shared" ref="D143:D151" si="93">SUM(E143:G143)</f>
        <v>6500</v>
      </c>
      <c r="E143" s="259">
        <f>'[1]12. Prostredie pre život'!$AI$24</f>
        <v>6500</v>
      </c>
      <c r="F143" s="259">
        <f>'[1]12. Prostredie pre život'!$AJ$24</f>
        <v>0</v>
      </c>
      <c r="G143" s="260">
        <f>'[1]12. Prostredie pre život'!$AK$24</f>
        <v>0</v>
      </c>
      <c r="H143" s="261">
        <f t="shared" ref="H143:H151" si="94">SUM(I143:K143)</f>
        <v>3850</v>
      </c>
      <c r="I143" s="259">
        <f>'[1]12. Prostredie pre život'!$AL$24</f>
        <v>3850</v>
      </c>
      <c r="J143" s="259">
        <f>'[1]12. Prostredie pre život'!$AM$24</f>
        <v>0</v>
      </c>
      <c r="K143" s="260">
        <f>'[1]12. Prostredie pre život'!$AN$24</f>
        <v>0</v>
      </c>
    </row>
    <row r="144" spans="2:11" ht="15.75" x14ac:dyDescent="0.25">
      <c r="B144" s="273">
        <v>3</v>
      </c>
      <c r="C144" s="274" t="s">
        <v>326</v>
      </c>
      <c r="D144" s="261">
        <f t="shared" si="93"/>
        <v>500</v>
      </c>
      <c r="E144" s="259">
        <f>'[1]12. Prostredie pre život'!$AI$26</f>
        <v>500</v>
      </c>
      <c r="F144" s="259">
        <f>'[1]12. Prostredie pre život'!$AJ$26</f>
        <v>0</v>
      </c>
      <c r="G144" s="260">
        <f>'[1]12. Prostredie pre život'!$AK$26</f>
        <v>0</v>
      </c>
      <c r="H144" s="261">
        <f t="shared" si="94"/>
        <v>0</v>
      </c>
      <c r="I144" s="259">
        <f>'[1]12. Prostredie pre život'!$AL$26</f>
        <v>0</v>
      </c>
      <c r="J144" s="259">
        <f>'[1]12. Prostredie pre život'!$AM$26</f>
        <v>0</v>
      </c>
      <c r="K144" s="260">
        <f>'[1]12. Prostredie pre život'!$AN$26</f>
        <v>0</v>
      </c>
    </row>
    <row r="145" spans="1:11" ht="15.75" x14ac:dyDescent="0.25">
      <c r="B145" s="273">
        <v>4</v>
      </c>
      <c r="C145" s="274" t="s">
        <v>327</v>
      </c>
      <c r="D145" s="261">
        <f t="shared" si="93"/>
        <v>800</v>
      </c>
      <c r="E145" s="259">
        <f>'[1]12. Prostredie pre život'!$AI$44</f>
        <v>800</v>
      </c>
      <c r="F145" s="259">
        <f>'[1]12. Prostredie pre život'!$AJ$44</f>
        <v>0</v>
      </c>
      <c r="G145" s="260">
        <f>'[1]12. Prostredie pre život'!$AK$44</f>
        <v>0</v>
      </c>
      <c r="H145" s="261">
        <f t="shared" si="94"/>
        <v>0</v>
      </c>
      <c r="I145" s="259">
        <f>'[1]12. Prostredie pre život'!$AL$44</f>
        <v>0</v>
      </c>
      <c r="J145" s="259">
        <f>'[1]12. Prostredie pre život'!$AM$44</f>
        <v>0</v>
      </c>
      <c r="K145" s="260">
        <f>'[1]12. Prostredie pre život'!$AN$44</f>
        <v>0</v>
      </c>
    </row>
    <row r="146" spans="1:11" ht="15.75" x14ac:dyDescent="0.25">
      <c r="B146" s="285" t="s">
        <v>328</v>
      </c>
      <c r="C146" s="274" t="s">
        <v>329</v>
      </c>
      <c r="D146" s="261">
        <f t="shared" si="93"/>
        <v>5000</v>
      </c>
      <c r="E146" s="259">
        <f>'[1]12. Prostredie pre život'!$AI$48</f>
        <v>5000</v>
      </c>
      <c r="F146" s="259">
        <f>'[1]12. Prostredie pre život'!$AJ$48</f>
        <v>0</v>
      </c>
      <c r="G146" s="260">
        <f>'[1]12. Prostredie pre život'!$AK$48</f>
        <v>0</v>
      </c>
      <c r="H146" s="261">
        <f t="shared" si="94"/>
        <v>701.1</v>
      </c>
      <c r="I146" s="259">
        <f>'[1]12. Prostredie pre život'!$AL$48</f>
        <v>701.1</v>
      </c>
      <c r="J146" s="259">
        <f>'[1]12. Prostredie pre život'!$AM$48</f>
        <v>0</v>
      </c>
      <c r="K146" s="260">
        <f>'[1]12. Prostredie pre život'!$AN$48</f>
        <v>0</v>
      </c>
    </row>
    <row r="147" spans="1:11" ht="15.75" x14ac:dyDescent="0.25">
      <c r="A147" s="124"/>
      <c r="B147" s="291" t="s">
        <v>330</v>
      </c>
      <c r="C147" s="274" t="s">
        <v>331</v>
      </c>
      <c r="D147" s="261">
        <f t="shared" si="93"/>
        <v>767800</v>
      </c>
      <c r="E147" s="259">
        <f>'[1]12. Prostredie pre život'!$AI$51</f>
        <v>237800</v>
      </c>
      <c r="F147" s="259">
        <f>'[1]12. Prostredie pre život'!$AJ$51</f>
        <v>530000</v>
      </c>
      <c r="G147" s="260">
        <f>'[1]12. Prostredie pre život'!$AK$51</f>
        <v>0</v>
      </c>
      <c r="H147" s="261">
        <f t="shared" si="94"/>
        <v>1488.6</v>
      </c>
      <c r="I147" s="259">
        <f>'[1]12. Prostredie pre život'!$AL$51</f>
        <v>1488.6</v>
      </c>
      <c r="J147" s="259">
        <f>'[1]12. Prostredie pre život'!$AM$51</f>
        <v>0</v>
      </c>
      <c r="K147" s="260">
        <f>'[1]12. Prostredie pre život'!$AN$51</f>
        <v>0</v>
      </c>
    </row>
    <row r="148" spans="1:11" ht="15.75" x14ac:dyDescent="0.25">
      <c r="A148" s="124"/>
      <c r="B148" s="291" t="s">
        <v>332</v>
      </c>
      <c r="C148" s="274" t="s">
        <v>333</v>
      </c>
      <c r="D148" s="261">
        <f t="shared" si="93"/>
        <v>5000</v>
      </c>
      <c r="E148" s="259">
        <f>'[1]12. Prostredie pre život'!$AI$72</f>
        <v>5000</v>
      </c>
      <c r="F148" s="259">
        <f>'[1]12. Prostredie pre život'!$AJ$72</f>
        <v>0</v>
      </c>
      <c r="G148" s="260">
        <f>'[1]12. Prostredie pre život'!$AK$72</f>
        <v>0</v>
      </c>
      <c r="H148" s="261">
        <f t="shared" si="94"/>
        <v>363.24</v>
      </c>
      <c r="I148" s="259">
        <f>'[1]12. Prostredie pre život'!$AL$72</f>
        <v>363.24</v>
      </c>
      <c r="J148" s="259">
        <f>'[1]12. Prostredie pre život'!$AM$72</f>
        <v>0</v>
      </c>
      <c r="K148" s="260">
        <f>'[1]12. Prostredie pre život'!$AN$72</f>
        <v>0</v>
      </c>
    </row>
    <row r="149" spans="1:11" ht="15.75" x14ac:dyDescent="0.25">
      <c r="A149" s="124"/>
      <c r="B149" s="291" t="s">
        <v>334</v>
      </c>
      <c r="C149" s="274" t="s">
        <v>335</v>
      </c>
      <c r="D149" s="261">
        <f t="shared" si="93"/>
        <v>42500</v>
      </c>
      <c r="E149" s="259">
        <f>'[1]12. Prostredie pre život'!$AI$74</f>
        <v>42500</v>
      </c>
      <c r="F149" s="259">
        <f>'[1]12. Prostredie pre život'!$AJ$74</f>
        <v>0</v>
      </c>
      <c r="G149" s="260">
        <f>'[1]12. Prostredie pre život'!$AK$74</f>
        <v>0</v>
      </c>
      <c r="H149" s="261">
        <f t="shared" si="94"/>
        <v>12417.19</v>
      </c>
      <c r="I149" s="259">
        <f>'[1]12. Prostredie pre život'!$AL$74</f>
        <v>12417.19</v>
      </c>
      <c r="J149" s="259">
        <f>'[1]12. Prostredie pre život'!$AM$74</f>
        <v>0</v>
      </c>
      <c r="K149" s="260">
        <f>'[1]12. Prostredie pre život'!$AN$74</f>
        <v>0</v>
      </c>
    </row>
    <row r="150" spans="1:11" ht="15.75" x14ac:dyDescent="0.25">
      <c r="A150" s="124"/>
      <c r="B150" s="292" t="s">
        <v>336</v>
      </c>
      <c r="C150" s="290" t="s">
        <v>337</v>
      </c>
      <c r="D150" s="261">
        <f t="shared" si="93"/>
        <v>64830</v>
      </c>
      <c r="E150" s="259">
        <f>'[1]12. Prostredie pre život'!$AI$78</f>
        <v>42100</v>
      </c>
      <c r="F150" s="259">
        <f>'[1]12. Prostredie pre život'!$AJ$78</f>
        <v>22730</v>
      </c>
      <c r="G150" s="260">
        <f>'[1]12. Prostredie pre život'!$AK$78</f>
        <v>0</v>
      </c>
      <c r="H150" s="261">
        <f t="shared" si="94"/>
        <v>6048.89</v>
      </c>
      <c r="I150" s="259">
        <f>'[1]12. Prostredie pre život'!$AL$78</f>
        <v>6048.89</v>
      </c>
      <c r="J150" s="259">
        <f>'[1]12. Prostredie pre život'!$AM$78</f>
        <v>0</v>
      </c>
      <c r="K150" s="260">
        <f>'[1]12. Prostredie pre život'!$AN$78</f>
        <v>0</v>
      </c>
    </row>
    <row r="151" spans="1:11" ht="16.5" thickBot="1" x14ac:dyDescent="0.3">
      <c r="A151" s="124"/>
      <c r="B151" s="293" t="s">
        <v>338</v>
      </c>
      <c r="C151" s="276" t="s">
        <v>413</v>
      </c>
      <c r="D151" s="269">
        <f t="shared" si="93"/>
        <v>0</v>
      </c>
      <c r="E151" s="270">
        <f>'[1]12. Prostredie pre život'!$AI$106</f>
        <v>0</v>
      </c>
      <c r="F151" s="270">
        <f>'[1]12. Prostredie pre život'!$AJ$106</f>
        <v>0</v>
      </c>
      <c r="G151" s="303">
        <f>'[1]12. Prostredie pre život'!$AK$106</f>
        <v>0</v>
      </c>
      <c r="H151" s="261">
        <f t="shared" si="94"/>
        <v>0</v>
      </c>
      <c r="I151" s="270">
        <f>'[1]12. Prostredie pre život'!$AL$106</f>
        <v>0</v>
      </c>
      <c r="J151" s="270">
        <f>'[1]12. Prostredie pre život'!$AM$106</f>
        <v>0</v>
      </c>
      <c r="K151" s="303">
        <f>'[1]12. Prostredie pre život'!$AN$106</f>
        <v>0</v>
      </c>
    </row>
    <row r="152" spans="1:11" s="123" customFormat="1" ht="15.75" x14ac:dyDescent="0.25">
      <c r="A152" s="125"/>
      <c r="B152" s="294" t="s">
        <v>340</v>
      </c>
      <c r="C152" s="295" t="s">
        <v>341</v>
      </c>
      <c r="D152" s="267">
        <f>D153+D157+D163+D168+D172+D173+D174+D176+D177+D178</f>
        <v>4557900</v>
      </c>
      <c r="E152" s="268">
        <f t="shared" ref="E152:F152" si="95">E153+E157+E163+E168+E172+E173+E174+E176+E177+E178</f>
        <v>2930900</v>
      </c>
      <c r="F152" s="268">
        <f t="shared" si="95"/>
        <v>1627000</v>
      </c>
      <c r="G152" s="355">
        <f>G153+G157+G163+G168+G172+G173+G174+G176+G177+G178</f>
        <v>0</v>
      </c>
      <c r="H152" s="267">
        <f>H153+H157+H163+H168+H172+H173+H174+H176+H177+H178</f>
        <v>1712132.49</v>
      </c>
      <c r="I152" s="268">
        <f t="shared" ref="I152:J152" si="96">I153+I157+I163+I168+I172+I173+I174+I176+I177+I178</f>
        <v>714232.72000000009</v>
      </c>
      <c r="J152" s="268">
        <f t="shared" si="96"/>
        <v>997899.77</v>
      </c>
      <c r="K152" s="355">
        <f>K153+K157+K163+K168+K172+K173+K174+K176+K177+K178</f>
        <v>0</v>
      </c>
    </row>
    <row r="153" spans="1:11" ht="15.75" x14ac:dyDescent="0.25">
      <c r="A153" s="124"/>
      <c r="B153" s="285" t="s">
        <v>342</v>
      </c>
      <c r="C153" s="274" t="s">
        <v>343</v>
      </c>
      <c r="D153" s="261">
        <f>SUM(D154:D156)</f>
        <v>18550</v>
      </c>
      <c r="E153" s="259">
        <f t="shared" ref="E153:G153" si="97">SUM(E154:E156)</f>
        <v>18550</v>
      </c>
      <c r="F153" s="259">
        <f t="shared" si="97"/>
        <v>0</v>
      </c>
      <c r="G153" s="356">
        <f t="shared" si="97"/>
        <v>0</v>
      </c>
      <c r="H153" s="261">
        <f>SUM(H154:H156)</f>
        <v>4340</v>
      </c>
      <c r="I153" s="259">
        <f t="shared" ref="I153:K153" si="98">SUM(I154:I156)</f>
        <v>4340</v>
      </c>
      <c r="J153" s="259">
        <f t="shared" si="98"/>
        <v>0</v>
      </c>
      <c r="K153" s="356">
        <f t="shared" si="98"/>
        <v>0</v>
      </c>
    </row>
    <row r="154" spans="1:11" ht="15.75" x14ac:dyDescent="0.25">
      <c r="A154" s="124"/>
      <c r="B154" s="273">
        <v>1</v>
      </c>
      <c r="C154" s="274" t="s">
        <v>344</v>
      </c>
      <c r="D154" s="261">
        <f>SUM(E154:G154)</f>
        <v>7050</v>
      </c>
      <c r="E154" s="259">
        <f>'[1]13. Sociálna starostlivosť'!$AI$5</f>
        <v>7050</v>
      </c>
      <c r="F154" s="259">
        <f>'[1]13. Sociálna starostlivosť'!$AJ$5</f>
        <v>0</v>
      </c>
      <c r="G154" s="260">
        <f>'[1]13. Sociálna starostlivosť'!$AK$5</f>
        <v>0</v>
      </c>
      <c r="H154" s="261">
        <f>SUM(I154:K154)</f>
        <v>1760</v>
      </c>
      <c r="I154" s="259">
        <f>'[1]13. Sociálna starostlivosť'!$AL$5</f>
        <v>1760</v>
      </c>
      <c r="J154" s="259">
        <f>'[1]13. Sociálna starostlivosť'!$AM$5</f>
        <v>0</v>
      </c>
      <c r="K154" s="260">
        <f>'[1]13. Sociálna starostlivosť'!$AN$5</f>
        <v>0</v>
      </c>
    </row>
    <row r="155" spans="1:11" ht="15.75" x14ac:dyDescent="0.25">
      <c r="A155" s="124"/>
      <c r="B155" s="273">
        <v>2</v>
      </c>
      <c r="C155" s="274" t="s">
        <v>345</v>
      </c>
      <c r="D155" s="261">
        <f>SUM(E155:G155)</f>
        <v>0</v>
      </c>
      <c r="E155" s="259">
        <f>'[1]13. Sociálna starostlivosť'!$AI$8</f>
        <v>0</v>
      </c>
      <c r="F155" s="259">
        <f>'[1]13. Sociálna starostlivosť'!$AJ$8</f>
        <v>0</v>
      </c>
      <c r="G155" s="260">
        <f>'[1]13. Sociálna starostlivosť'!$AK$8</f>
        <v>0</v>
      </c>
      <c r="H155" s="261">
        <f t="shared" ref="H155:H156" si="99">SUM(I155:K155)</f>
        <v>0</v>
      </c>
      <c r="I155" s="259">
        <f>'[1]13. Sociálna starostlivosť'!$AL$8</f>
        <v>0</v>
      </c>
      <c r="J155" s="259">
        <f>'[1]13. Sociálna starostlivosť'!$AM$8</f>
        <v>0</v>
      </c>
      <c r="K155" s="260">
        <f>'[1]13. Sociálna starostlivosť'!$AN$8</f>
        <v>0</v>
      </c>
    </row>
    <row r="156" spans="1:11" ht="15.75" x14ac:dyDescent="0.25">
      <c r="A156" s="124"/>
      <c r="B156" s="273">
        <v>3</v>
      </c>
      <c r="C156" s="274" t="s">
        <v>346</v>
      </c>
      <c r="D156" s="261">
        <f>SUM(E156:G156)</f>
        <v>11500</v>
      </c>
      <c r="E156" s="259">
        <f>'[1]13. Sociálna starostlivosť'!$AI$9</f>
        <v>11500</v>
      </c>
      <c r="F156" s="259">
        <f>'[1]13. Sociálna starostlivosť'!$AJ$9</f>
        <v>0</v>
      </c>
      <c r="G156" s="260">
        <f>'[1]13. Sociálna starostlivosť'!$AK$9</f>
        <v>0</v>
      </c>
      <c r="H156" s="261">
        <f t="shared" si="99"/>
        <v>2580</v>
      </c>
      <c r="I156" s="259">
        <f>'[1]13. Sociálna starostlivosť'!$AL$9</f>
        <v>2580</v>
      </c>
      <c r="J156" s="259">
        <f>'[1]13. Sociálna starostlivosť'!$AM$9</f>
        <v>0</v>
      </c>
      <c r="K156" s="260">
        <f>'[1]13. Sociálna starostlivosť'!$AN$9</f>
        <v>0</v>
      </c>
    </row>
    <row r="157" spans="1:11" ht="15.75" x14ac:dyDescent="0.25">
      <c r="A157" s="125"/>
      <c r="B157" s="285" t="s">
        <v>347</v>
      </c>
      <c r="C157" s="274" t="s">
        <v>348</v>
      </c>
      <c r="D157" s="261">
        <f t="shared" ref="D157:G157" si="100">SUM(D158:D162)</f>
        <v>1869900</v>
      </c>
      <c r="E157" s="259">
        <f t="shared" si="100"/>
        <v>252900</v>
      </c>
      <c r="F157" s="259">
        <f t="shared" si="100"/>
        <v>1617000</v>
      </c>
      <c r="G157" s="260">
        <f t="shared" si="100"/>
        <v>0</v>
      </c>
      <c r="H157" s="261">
        <f t="shared" ref="H157:K157" si="101">SUM(H158:H162)</f>
        <v>1037285.76</v>
      </c>
      <c r="I157" s="259">
        <f t="shared" si="101"/>
        <v>45314.59</v>
      </c>
      <c r="J157" s="259">
        <f t="shared" si="101"/>
        <v>991971.17</v>
      </c>
      <c r="K157" s="260">
        <f t="shared" si="101"/>
        <v>0</v>
      </c>
    </row>
    <row r="158" spans="1:11" ht="15.75" x14ac:dyDescent="0.25">
      <c r="A158" s="125"/>
      <c r="B158" s="273">
        <v>1</v>
      </c>
      <c r="C158" s="274" t="s">
        <v>349</v>
      </c>
      <c r="D158" s="261">
        <f>SUM(E158:G158)</f>
        <v>90000</v>
      </c>
      <c r="E158" s="259">
        <f>'[1]13. Sociálna starostlivosť'!$AI$17</f>
        <v>90000</v>
      </c>
      <c r="F158" s="259">
        <f>'[1]13. Sociálna starostlivosť'!$AJ$17</f>
        <v>0</v>
      </c>
      <c r="G158" s="260">
        <f>'[1]13. Sociálna starostlivosť'!$AK$17</f>
        <v>0</v>
      </c>
      <c r="H158" s="261">
        <f>SUM(I158:K158)</f>
        <v>14630</v>
      </c>
      <c r="I158" s="259">
        <f>'[1]13. Sociálna starostlivosť'!$AL$17</f>
        <v>14630</v>
      </c>
      <c r="J158" s="259">
        <f>'[1]13. Sociálna starostlivosť'!$AM$17</f>
        <v>0</v>
      </c>
      <c r="K158" s="260">
        <f>'[1]13. Sociálna starostlivosť'!$AN$17</f>
        <v>0</v>
      </c>
    </row>
    <row r="159" spans="1:11" ht="15.75" x14ac:dyDescent="0.25">
      <c r="A159" s="125"/>
      <c r="B159" s="273">
        <v>2</v>
      </c>
      <c r="C159" s="274" t="s">
        <v>350</v>
      </c>
      <c r="D159" s="261">
        <f>SUM(E159:G159)</f>
        <v>10000</v>
      </c>
      <c r="E159" s="259">
        <f>'[1]13. Sociálna starostlivosť'!$AI$21</f>
        <v>10000</v>
      </c>
      <c r="F159" s="259">
        <f>'[1]13. Sociálna starostlivosť'!$AJ$21</f>
        <v>0</v>
      </c>
      <c r="G159" s="260">
        <f>'[1]13. Sociálna starostlivosť'!$AK$21</f>
        <v>0</v>
      </c>
      <c r="H159" s="261">
        <f t="shared" ref="H159:H162" si="102">SUM(I159:K159)</f>
        <v>1620</v>
      </c>
      <c r="I159" s="259">
        <f>'[1]13. Sociálna starostlivosť'!$AL$21</f>
        <v>1620</v>
      </c>
      <c r="J159" s="259">
        <f>'[1]13. Sociálna starostlivosť'!$AM$21</f>
        <v>0</v>
      </c>
      <c r="K159" s="260">
        <f>'[1]13. Sociálna starostlivosť'!$AN$21</f>
        <v>0</v>
      </c>
    </row>
    <row r="160" spans="1:11" ht="15.75" x14ac:dyDescent="0.25">
      <c r="A160" s="125"/>
      <c r="B160" s="273">
        <v>3</v>
      </c>
      <c r="C160" s="274" t="s">
        <v>351</v>
      </c>
      <c r="D160" s="261">
        <f>SUM(E160:G160)</f>
        <v>0</v>
      </c>
      <c r="E160" s="259">
        <f>'[1]13. Sociálna starostlivosť'!$AI$24</f>
        <v>0</v>
      </c>
      <c r="F160" s="259">
        <f>'[1]13. Sociálna starostlivosť'!$AJ$24</f>
        <v>0</v>
      </c>
      <c r="G160" s="260">
        <f>'[1]13. Sociálna starostlivosť'!$AK$24</f>
        <v>0</v>
      </c>
      <c r="H160" s="261">
        <f t="shared" si="102"/>
        <v>0</v>
      </c>
      <c r="I160" s="259">
        <f>'[1]13. Sociálna starostlivosť'!$AL$24</f>
        <v>0</v>
      </c>
      <c r="J160" s="259">
        <f>'[1]13. Sociálna starostlivosť'!$AM$24</f>
        <v>0</v>
      </c>
      <c r="K160" s="260">
        <f>'[1]13. Sociálna starostlivosť'!$AN$24</f>
        <v>0</v>
      </c>
    </row>
    <row r="161" spans="1:11" ht="15.75" x14ac:dyDescent="0.25">
      <c r="A161" s="125"/>
      <c r="B161" s="273">
        <v>4</v>
      </c>
      <c r="C161" s="274" t="s">
        <v>352</v>
      </c>
      <c r="D161" s="261">
        <f>SUM(E161:G161)</f>
        <v>122900</v>
      </c>
      <c r="E161" s="259">
        <f>'[1]13. Sociálna starostlivosť'!$AI$26</f>
        <v>122900</v>
      </c>
      <c r="F161" s="259">
        <f>'[1]13. Sociálna starostlivosť'!$AJ$26</f>
        <v>0</v>
      </c>
      <c r="G161" s="260">
        <f>'[1]13. Sociálna starostlivosť'!$AK$26</f>
        <v>0</v>
      </c>
      <c r="H161" s="261">
        <f t="shared" si="102"/>
        <v>29064.59</v>
      </c>
      <c r="I161" s="259">
        <f>'[1]13. Sociálna starostlivosť'!$AL$26</f>
        <v>29064.59</v>
      </c>
      <c r="J161" s="259">
        <f>'[1]13. Sociálna starostlivosť'!$AM$26</f>
        <v>0</v>
      </c>
      <c r="K161" s="260">
        <f>'[1]13. Sociálna starostlivosť'!$AN$26</f>
        <v>0</v>
      </c>
    </row>
    <row r="162" spans="1:11" ht="15.75" x14ac:dyDescent="0.25">
      <c r="A162" s="125"/>
      <c r="B162" s="273">
        <v>5</v>
      </c>
      <c r="C162" s="274" t="s">
        <v>638</v>
      </c>
      <c r="D162" s="261">
        <f>SUM(E162:G162)</f>
        <v>1647000</v>
      </c>
      <c r="E162" s="259">
        <f>'[1]13. Sociálna starostlivosť'!$AI$29</f>
        <v>30000</v>
      </c>
      <c r="F162" s="259">
        <f>'[1]13. Sociálna starostlivosť'!$AJ$29</f>
        <v>1617000</v>
      </c>
      <c r="G162" s="260">
        <f>'[1]13. Sociálna starostlivosť'!$AK$29</f>
        <v>0</v>
      </c>
      <c r="H162" s="261">
        <f t="shared" si="102"/>
        <v>991971.17</v>
      </c>
      <c r="I162" s="259">
        <f>'[1]13. Sociálna starostlivosť'!$AL$29</f>
        <v>0</v>
      </c>
      <c r="J162" s="259">
        <f>'[1]13. Sociálna starostlivosť'!$AM$29</f>
        <v>991971.17</v>
      </c>
      <c r="K162" s="260">
        <f>'[1]13. Sociálna starostlivosť'!$AN$29</f>
        <v>0</v>
      </c>
    </row>
    <row r="163" spans="1:11" ht="15.75" x14ac:dyDescent="0.25">
      <c r="A163" s="122"/>
      <c r="B163" s="285" t="s">
        <v>353</v>
      </c>
      <c r="C163" s="274" t="s">
        <v>354</v>
      </c>
      <c r="D163" s="261">
        <f t="shared" ref="D163:G163" si="103">SUM(D164:D167)</f>
        <v>2144170</v>
      </c>
      <c r="E163" s="259">
        <f t="shared" si="103"/>
        <v>2134170</v>
      </c>
      <c r="F163" s="259">
        <f t="shared" si="103"/>
        <v>10000</v>
      </c>
      <c r="G163" s="356">
        <f t="shared" si="103"/>
        <v>0</v>
      </c>
      <c r="H163" s="261">
        <f>SUM(H164:H167)</f>
        <v>565053.19999999995</v>
      </c>
      <c r="I163" s="259">
        <f>SUM(I164:I167)</f>
        <v>559124.6</v>
      </c>
      <c r="J163" s="259">
        <f t="shared" ref="J163:K163" si="104">SUM(J164:J167)</f>
        <v>5928.6</v>
      </c>
      <c r="K163" s="356">
        <f t="shared" si="104"/>
        <v>0</v>
      </c>
    </row>
    <row r="164" spans="1:11" ht="15.75" x14ac:dyDescent="0.25">
      <c r="B164" s="273">
        <v>1</v>
      </c>
      <c r="C164" s="274" t="s">
        <v>355</v>
      </c>
      <c r="D164" s="261">
        <f>SUM(E164:G164)</f>
        <v>64100</v>
      </c>
      <c r="E164" s="259">
        <f>'[1]13. Sociálna starostlivosť'!$AI$32</f>
        <v>64100</v>
      </c>
      <c r="F164" s="259">
        <f>'[1]13. Sociálna starostlivosť'!$AJ$32</f>
        <v>0</v>
      </c>
      <c r="G164" s="260">
        <f>'[1]13. Sociálna starostlivosť'!$AK$32</f>
        <v>0</v>
      </c>
      <c r="H164" s="261">
        <f>SUM(I164:K164)</f>
        <v>10420</v>
      </c>
      <c r="I164" s="259">
        <f>'[1]13. Sociálna starostlivosť'!$AL$32</f>
        <v>10420</v>
      </c>
      <c r="J164" s="259">
        <f>'[1]13. Sociálna starostlivosť'!$AM$32</f>
        <v>0</v>
      </c>
      <c r="K164" s="260">
        <f>'[1]13. Sociálna starostlivosť'!$AN$32</f>
        <v>0</v>
      </c>
    </row>
    <row r="165" spans="1:11" ht="15.75" x14ac:dyDescent="0.25">
      <c r="B165" s="273">
        <v>2</v>
      </c>
      <c r="C165" s="274" t="s">
        <v>356</v>
      </c>
      <c r="D165" s="261">
        <f>SUM(E165:G165)</f>
        <v>0</v>
      </c>
      <c r="E165" s="259">
        <f>'[1]13. Sociálna starostlivosť'!$AI$35</f>
        <v>0</v>
      </c>
      <c r="F165" s="259">
        <f>'[1]13. Sociálna starostlivosť'!$AJ$35</f>
        <v>0</v>
      </c>
      <c r="G165" s="260">
        <f>'[1]13. Sociálna starostlivosť'!$AK$35</f>
        <v>0</v>
      </c>
      <c r="H165" s="261">
        <f t="shared" ref="H165:H167" si="105">SUM(I165:K165)</f>
        <v>0</v>
      </c>
      <c r="I165" s="259">
        <f>'[1]13. Sociálna starostlivosť'!$AL$35</f>
        <v>0</v>
      </c>
      <c r="J165" s="259">
        <f>'[1]13. Sociálna starostlivosť'!$AM$35</f>
        <v>0</v>
      </c>
      <c r="K165" s="260">
        <f>'[1]13. Sociálna starostlivosť'!$AN$35</f>
        <v>0</v>
      </c>
    </row>
    <row r="166" spans="1:11" ht="15.75" x14ac:dyDescent="0.25">
      <c r="A166" s="125"/>
      <c r="B166" s="273">
        <v>3</v>
      </c>
      <c r="C166" s="274" t="s">
        <v>443</v>
      </c>
      <c r="D166" s="261">
        <f>SUM(E166:G166)</f>
        <v>1773920</v>
      </c>
      <c r="E166" s="259">
        <f>'[1]13. Sociálna starostlivosť'!$AI$37</f>
        <v>1763920</v>
      </c>
      <c r="F166" s="259">
        <f>'[1]13. Sociálna starostlivosť'!$AJ$37</f>
        <v>10000</v>
      </c>
      <c r="G166" s="260">
        <f>'[1]13. Sociálna starostlivosť'!$AK$37</f>
        <v>0</v>
      </c>
      <c r="H166" s="261">
        <f t="shared" si="105"/>
        <v>488566.87</v>
      </c>
      <c r="I166" s="259">
        <f>'[1]13. Sociálna starostlivosť'!$AL$37</f>
        <v>482638.27</v>
      </c>
      <c r="J166" s="259">
        <f>'[1]13. Sociálna starostlivosť'!$AM$37</f>
        <v>5928.6</v>
      </c>
      <c r="K166" s="260">
        <f>'[1]13. Sociálna starostlivosť'!$AN$37</f>
        <v>0</v>
      </c>
    </row>
    <row r="167" spans="1:11" ht="15.75" x14ac:dyDescent="0.25">
      <c r="A167" s="125"/>
      <c r="B167" s="273">
        <v>4</v>
      </c>
      <c r="C167" s="274" t="s">
        <v>444</v>
      </c>
      <c r="D167" s="261">
        <f>SUM(E167:G167)</f>
        <v>306150</v>
      </c>
      <c r="E167" s="259">
        <f>'[1]13. Sociálna starostlivosť'!$AI$52</f>
        <v>306150</v>
      </c>
      <c r="F167" s="259">
        <f>'[1]13. Sociálna starostlivosť'!$AJ$52</f>
        <v>0</v>
      </c>
      <c r="G167" s="260">
        <f>'[1]13. Sociálna starostlivosť'!$AK$52</f>
        <v>0</v>
      </c>
      <c r="H167" s="261">
        <f t="shared" si="105"/>
        <v>66066.33</v>
      </c>
      <c r="I167" s="259">
        <f>'[1]13. Sociálna starostlivosť'!$AL$52</f>
        <v>66066.33</v>
      </c>
      <c r="J167" s="259">
        <f>'[1]13. Sociálna starostlivosť'!$AM$52</f>
        <v>0</v>
      </c>
      <c r="K167" s="260">
        <f>'[1]13. Sociálna starostlivosť'!$AN$52</f>
        <v>0</v>
      </c>
    </row>
    <row r="168" spans="1:11" ht="15.75" x14ac:dyDescent="0.25">
      <c r="B168" s="285" t="s">
        <v>358</v>
      </c>
      <c r="C168" s="274" t="s">
        <v>359</v>
      </c>
      <c r="D168" s="261">
        <f t="shared" ref="D168:G168" si="106">SUM(D169:D171)</f>
        <v>140200</v>
      </c>
      <c r="E168" s="259">
        <f t="shared" si="106"/>
        <v>140200</v>
      </c>
      <c r="F168" s="259">
        <f t="shared" si="106"/>
        <v>0</v>
      </c>
      <c r="G168" s="356">
        <f t="shared" si="106"/>
        <v>0</v>
      </c>
      <c r="H168" s="261">
        <f t="shared" ref="H168:K168" si="107">SUM(H169:H171)</f>
        <v>33905.29</v>
      </c>
      <c r="I168" s="259">
        <f t="shared" si="107"/>
        <v>33905.29</v>
      </c>
      <c r="J168" s="259">
        <f t="shared" si="107"/>
        <v>0</v>
      </c>
      <c r="K168" s="356">
        <f t="shared" si="107"/>
        <v>0</v>
      </c>
    </row>
    <row r="169" spans="1:11" ht="15.75" x14ac:dyDescent="0.25">
      <c r="B169" s="273">
        <v>1</v>
      </c>
      <c r="C169" s="274" t="s">
        <v>360</v>
      </c>
      <c r="D169" s="261">
        <f>SUM(E169:G169)</f>
        <v>49500</v>
      </c>
      <c r="E169" s="259">
        <f>'[1]13. Sociálna starostlivosť'!$AI$57</f>
        <v>49500</v>
      </c>
      <c r="F169" s="259">
        <f>'[1]13. Sociálna starostlivosť'!$AJ$57</f>
        <v>0</v>
      </c>
      <c r="G169" s="260">
        <f>'[1]13. Sociálna starostlivosť'!$AK$57</f>
        <v>0</v>
      </c>
      <c r="H169" s="261">
        <f>SUM(I169:K169)</f>
        <v>12172.33</v>
      </c>
      <c r="I169" s="259">
        <f>'[1]13. Sociálna starostlivosť'!$AL$57</f>
        <v>12172.33</v>
      </c>
      <c r="J169" s="259">
        <f>'[1]13. Sociálna starostlivosť'!$AM$57</f>
        <v>0</v>
      </c>
      <c r="K169" s="260">
        <f>'[1]13. Sociálna starostlivosť'!$AN$57</f>
        <v>0</v>
      </c>
    </row>
    <row r="170" spans="1:11" ht="15.75" x14ac:dyDescent="0.25">
      <c r="B170" s="273">
        <v>2</v>
      </c>
      <c r="C170" s="274" t="s">
        <v>600</v>
      </c>
      <c r="D170" s="261">
        <f>SUM(E170:G170)</f>
        <v>6550</v>
      </c>
      <c r="E170" s="259">
        <f>'[1]13. Sociálna starostlivosť'!$AI$61</f>
        <v>6550</v>
      </c>
      <c r="F170" s="259">
        <f>'[1]13. Sociálna starostlivosť'!$AJ$61</f>
        <v>0</v>
      </c>
      <c r="G170" s="260">
        <f>'[1]13. Sociálna starostlivosť'!$AK$61</f>
        <v>0</v>
      </c>
      <c r="H170" s="261">
        <f t="shared" ref="H170:H173" si="108">SUM(I170:K170)</f>
        <v>1060</v>
      </c>
      <c r="I170" s="259">
        <f>'[1]13. Sociálna starostlivosť'!$AL$61</f>
        <v>1060</v>
      </c>
      <c r="J170" s="259">
        <f>'[1]13. Sociálna starostlivosť'!$AM$61</f>
        <v>0</v>
      </c>
      <c r="K170" s="260">
        <f>'[1]13. Sociálna starostlivosť'!$AN$61</f>
        <v>0</v>
      </c>
    </row>
    <row r="171" spans="1:11" ht="15.75" x14ac:dyDescent="0.25">
      <c r="B171" s="273">
        <v>3</v>
      </c>
      <c r="C171" s="274" t="s">
        <v>362</v>
      </c>
      <c r="D171" s="261">
        <f>SUM(E171:G171)</f>
        <v>84150</v>
      </c>
      <c r="E171" s="259">
        <f>'[1]13. Sociálna starostlivosť'!$AI$64</f>
        <v>84150</v>
      </c>
      <c r="F171" s="259">
        <f>'[1]13. Sociálna starostlivosť'!$AJ$64</f>
        <v>0</v>
      </c>
      <c r="G171" s="260">
        <f>'[1]13. Sociálna starostlivosť'!$AK$64</f>
        <v>0</v>
      </c>
      <c r="H171" s="261">
        <f t="shared" si="108"/>
        <v>20672.96</v>
      </c>
      <c r="I171" s="259">
        <f>'[1]13. Sociálna starostlivosť'!$AL$64</f>
        <v>20672.96</v>
      </c>
      <c r="J171" s="259">
        <f>'[1]13. Sociálna starostlivosť'!$AM$64</f>
        <v>0</v>
      </c>
      <c r="K171" s="260">
        <f>'[1]13. Sociálna starostlivosť'!$AN$64</f>
        <v>0</v>
      </c>
    </row>
    <row r="172" spans="1:11" ht="15.75" x14ac:dyDescent="0.25">
      <c r="B172" s="285" t="s">
        <v>363</v>
      </c>
      <c r="C172" s="274" t="s">
        <v>364</v>
      </c>
      <c r="D172" s="261">
        <f>SUM(E172:G172)</f>
        <v>8950</v>
      </c>
      <c r="E172" s="259">
        <f>'[1]13. Sociálna starostlivosť'!$AI$67</f>
        <v>8950</v>
      </c>
      <c r="F172" s="259">
        <f>'[1]13. Sociálna starostlivosť'!$AJ$67</f>
        <v>0</v>
      </c>
      <c r="G172" s="260">
        <f>'[1]13. Sociálna starostlivosť'!$AK$67</f>
        <v>0</v>
      </c>
      <c r="H172" s="261">
        <f t="shared" si="108"/>
        <v>1460</v>
      </c>
      <c r="I172" s="259">
        <f>'[1]13. Sociálna starostlivosť'!$AL$67</f>
        <v>1460</v>
      </c>
      <c r="J172" s="259">
        <f>'[1]13. Sociálna starostlivosť'!$AM$67</f>
        <v>0</v>
      </c>
      <c r="K172" s="260">
        <f>'[1]13. Sociálna starostlivosť'!$AN$67</f>
        <v>0</v>
      </c>
    </row>
    <row r="173" spans="1:11" ht="15.75" x14ac:dyDescent="0.25">
      <c r="A173" s="124"/>
      <c r="B173" s="285" t="s">
        <v>365</v>
      </c>
      <c r="C173" s="274" t="s">
        <v>366</v>
      </c>
      <c r="D173" s="261">
        <f>SUM(E173:G173)</f>
        <v>1000</v>
      </c>
      <c r="E173" s="259">
        <f>'[1]13. Sociálna starostlivosť'!$AI$69</f>
        <v>1000</v>
      </c>
      <c r="F173" s="259">
        <f>'[1]13. Sociálna starostlivosť'!$AJ$69</f>
        <v>0</v>
      </c>
      <c r="G173" s="260">
        <f>'[1]13. Sociálna starostlivosť'!$AK$69</f>
        <v>0</v>
      </c>
      <c r="H173" s="261">
        <f t="shared" si="108"/>
        <v>0</v>
      </c>
      <c r="I173" s="259">
        <f>'[1]13. Sociálna starostlivosť'!$AL$69</f>
        <v>0</v>
      </c>
      <c r="J173" s="259">
        <f>'[1]13. Sociálna starostlivosť'!$AM$69</f>
        <v>0</v>
      </c>
      <c r="K173" s="260">
        <f>'[1]13. Sociálna starostlivosť'!$AN$69</f>
        <v>0</v>
      </c>
    </row>
    <row r="174" spans="1:11" ht="15.75" x14ac:dyDescent="0.25">
      <c r="B174" s="296" t="s">
        <v>367</v>
      </c>
      <c r="C174" s="290" t="s">
        <v>368</v>
      </c>
      <c r="D174" s="261">
        <f t="shared" ref="D174:K174" si="109">SUM(D175)</f>
        <v>51630</v>
      </c>
      <c r="E174" s="259">
        <f t="shared" si="109"/>
        <v>51630</v>
      </c>
      <c r="F174" s="259">
        <f t="shared" si="109"/>
        <v>0</v>
      </c>
      <c r="G174" s="356">
        <f t="shared" si="109"/>
        <v>0</v>
      </c>
      <c r="H174" s="261">
        <f t="shared" si="109"/>
        <v>870.05</v>
      </c>
      <c r="I174" s="259">
        <f t="shared" si="109"/>
        <v>870.05</v>
      </c>
      <c r="J174" s="259">
        <f t="shared" si="109"/>
        <v>0</v>
      </c>
      <c r="K174" s="356">
        <f t="shared" si="109"/>
        <v>0</v>
      </c>
    </row>
    <row r="175" spans="1:11" ht="15.75" x14ac:dyDescent="0.25">
      <c r="B175" s="297">
        <v>1</v>
      </c>
      <c r="C175" s="298" t="s">
        <v>369</v>
      </c>
      <c r="D175" s="261">
        <f>SUM(E175:G175)</f>
        <v>51630</v>
      </c>
      <c r="E175" s="259">
        <f>'[1]13. Sociálna starostlivosť'!$AI$81</f>
        <v>51630</v>
      </c>
      <c r="F175" s="259">
        <f>'[1]13. Sociálna starostlivosť'!$AJ$81</f>
        <v>0</v>
      </c>
      <c r="G175" s="260">
        <f>'[1]13. Sociálna starostlivosť'!$AK$81</f>
        <v>0</v>
      </c>
      <c r="H175" s="261">
        <f>SUM(I175:K175)</f>
        <v>870.05</v>
      </c>
      <c r="I175" s="259">
        <f>'[1]13. Sociálna starostlivosť'!$AL$81</f>
        <v>870.05</v>
      </c>
      <c r="J175" s="259">
        <f>'[1]13. Sociálna starostlivosť'!$AM$81</f>
        <v>0</v>
      </c>
      <c r="K175" s="260">
        <f>'[1]13. Sociálna starostlivosť'!$AN$81</f>
        <v>0</v>
      </c>
    </row>
    <row r="176" spans="1:11" ht="15.75" x14ac:dyDescent="0.25">
      <c r="A176" s="124"/>
      <c r="B176" s="299" t="s">
        <v>370</v>
      </c>
      <c r="C176" s="298" t="s">
        <v>371</v>
      </c>
      <c r="D176" s="261">
        <f>SUM(E176:G176)</f>
        <v>20000</v>
      </c>
      <c r="E176" s="259">
        <f>'[1]13. Sociálna starostlivosť'!$AI$106</f>
        <v>20000</v>
      </c>
      <c r="F176" s="259">
        <f>'[1]13. Sociálna starostlivosť'!$AJ$106</f>
        <v>0</v>
      </c>
      <c r="G176" s="260">
        <f>'[1]13. Sociálna starostlivosť'!$AK$106</f>
        <v>0</v>
      </c>
      <c r="H176" s="261">
        <f t="shared" ref="H176:H178" si="110">SUM(I176:K176)</f>
        <v>7538.64</v>
      </c>
      <c r="I176" s="259">
        <f>'[1]13. Sociálna starostlivosť'!$AL$106</f>
        <v>7538.64</v>
      </c>
      <c r="J176" s="259">
        <f>'[1]13. Sociálna starostlivosť'!$AM$106</f>
        <v>0</v>
      </c>
      <c r="K176" s="260">
        <f>'[1]13. Sociálna starostlivosť'!$AN$106</f>
        <v>0</v>
      </c>
    </row>
    <row r="177" spans="1:11" ht="15.75" x14ac:dyDescent="0.25">
      <c r="A177" s="124"/>
      <c r="B177" s="512" t="s">
        <v>596</v>
      </c>
      <c r="C177" s="513" t="s">
        <v>394</v>
      </c>
      <c r="D177" s="261">
        <f>SUM(E177:G177)</f>
        <v>193500</v>
      </c>
      <c r="E177" s="259">
        <f>'[1]13. Sociálna starostlivosť'!$AI$108</f>
        <v>193500</v>
      </c>
      <c r="F177" s="259">
        <f>'[1]13. Sociálna starostlivosť'!$AJ$108</f>
        <v>0</v>
      </c>
      <c r="G177" s="260">
        <f>'[1]13. Sociálna starostlivosť'!$AK$108</f>
        <v>0</v>
      </c>
      <c r="H177" s="261">
        <f t="shared" si="110"/>
        <v>36709.550000000003</v>
      </c>
      <c r="I177" s="259">
        <f>'[1]13. Sociálna starostlivosť'!$AL$108</f>
        <v>36709.550000000003</v>
      </c>
      <c r="J177" s="259">
        <f>'[1]13. Sociálna starostlivosť'!$AM$108</f>
        <v>0</v>
      </c>
      <c r="K177" s="260">
        <f>'[1]13. Sociálna starostlivosť'!$AN$108</f>
        <v>0</v>
      </c>
    </row>
    <row r="178" spans="1:11" ht="16.5" thickBot="1" x14ac:dyDescent="0.3">
      <c r="A178" s="124"/>
      <c r="B178" s="287" t="s">
        <v>595</v>
      </c>
      <c r="C178" s="365" t="s">
        <v>597</v>
      </c>
      <c r="D178" s="261">
        <f>SUM(E178:G178)</f>
        <v>110000</v>
      </c>
      <c r="E178" s="259">
        <f>'[1]13. Sociálna starostlivosť'!$AI$114</f>
        <v>110000</v>
      </c>
      <c r="F178" s="259">
        <f>'[1]13. Sociálna starostlivosť'!$AJ$114</f>
        <v>0</v>
      </c>
      <c r="G178" s="260">
        <f>'[1]13. Sociálna starostlivosť'!$AK$114</f>
        <v>0</v>
      </c>
      <c r="H178" s="261">
        <f t="shared" si="110"/>
        <v>24970</v>
      </c>
      <c r="I178" s="259">
        <f>'[1]13. Sociálna starostlivosť'!$AL$114</f>
        <v>24970</v>
      </c>
      <c r="J178" s="259">
        <f>'[1]13. Sociálna starostlivosť'!$AM$114</f>
        <v>0</v>
      </c>
      <c r="K178" s="260">
        <f>'[1]13. Sociálna starostlivosť'!$AN$114</f>
        <v>0</v>
      </c>
    </row>
    <row r="179" spans="1:11" s="123" customFormat="1" ht="17.25" thickBot="1" x14ac:dyDescent="0.35">
      <c r="A179" s="125"/>
      <c r="B179" s="300" t="s">
        <v>372</v>
      </c>
      <c r="C179" s="301"/>
      <c r="D179" s="507">
        <f>SUM(E179:G179)</f>
        <v>927600</v>
      </c>
      <c r="E179" s="508">
        <f>'[1]14. Bývanie'!$AI$24</f>
        <v>705250</v>
      </c>
      <c r="F179" s="508">
        <f>'[1]14. Bývanie'!$AJ$24</f>
        <v>0</v>
      </c>
      <c r="G179" s="509">
        <f>'[1]14. Bývanie'!$AK$24</f>
        <v>222350</v>
      </c>
      <c r="H179" s="507">
        <f>SUM(I179:K179)</f>
        <v>180871.54</v>
      </c>
      <c r="I179" s="508">
        <f>'[1]14. Bývanie'!$AL$24</f>
        <v>103770.89</v>
      </c>
      <c r="J179" s="508">
        <f>'[1]14. Bývanie'!$AM$24</f>
        <v>0</v>
      </c>
      <c r="K179" s="509">
        <f>'[1]14. Bývanie'!$AN$24</f>
        <v>77100.650000000009</v>
      </c>
    </row>
    <row r="180" spans="1:11" s="123" customFormat="1" ht="15.75" x14ac:dyDescent="0.25">
      <c r="A180" s="125"/>
      <c r="B180" s="277" t="s">
        <v>373</v>
      </c>
      <c r="C180" s="284"/>
      <c r="D180" s="267">
        <f t="shared" ref="D180:G180" si="111">SUM(D181:D183)</f>
        <v>4376890</v>
      </c>
      <c r="E180" s="268">
        <f t="shared" si="111"/>
        <v>3003220</v>
      </c>
      <c r="F180" s="268">
        <f t="shared" si="111"/>
        <v>298670</v>
      </c>
      <c r="G180" s="355">
        <f t="shared" si="111"/>
        <v>1075000</v>
      </c>
      <c r="H180" s="267">
        <f t="shared" ref="H180:K180" si="112">SUM(H181:H183)</f>
        <v>1247027.6099999999</v>
      </c>
      <c r="I180" s="268">
        <f t="shared" si="112"/>
        <v>905090.45999999985</v>
      </c>
      <c r="J180" s="268">
        <f t="shared" si="112"/>
        <v>102112.14</v>
      </c>
      <c r="K180" s="355">
        <f t="shared" si="112"/>
        <v>239825.01</v>
      </c>
    </row>
    <row r="181" spans="1:11" ht="15.75" x14ac:dyDescent="0.25">
      <c r="B181" s="299" t="s">
        <v>414</v>
      </c>
      <c r="C181" s="298" t="s">
        <v>419</v>
      </c>
      <c r="D181" s="261">
        <f>SUM(E181:G181)</f>
        <v>3078890</v>
      </c>
      <c r="E181" s="259">
        <f>'[1]15. Administratíva'!$AI$4</f>
        <v>2780220</v>
      </c>
      <c r="F181" s="259">
        <f>'[1]15. Administratíva'!$AJ$4</f>
        <v>298670</v>
      </c>
      <c r="G181" s="260">
        <f>'[1]15. Administratíva'!$AK$4</f>
        <v>0</v>
      </c>
      <c r="H181" s="261">
        <f>SUM(I181:K181)</f>
        <v>961555.09999999986</v>
      </c>
      <c r="I181" s="259">
        <f>'[1]15. Administratíva'!$AL$4</f>
        <v>859442.95999999985</v>
      </c>
      <c r="J181" s="259">
        <f>'[1]15. Administratíva'!$AM$4</f>
        <v>102112.14</v>
      </c>
      <c r="K181" s="260">
        <f>'[1]15. Administratíva'!$AN$4</f>
        <v>0</v>
      </c>
    </row>
    <row r="182" spans="1:11" ht="15.75" x14ac:dyDescent="0.25">
      <c r="B182" s="299" t="s">
        <v>415</v>
      </c>
      <c r="C182" s="298" t="s">
        <v>417</v>
      </c>
      <c r="D182" s="261">
        <f>SUM(E182:G182)</f>
        <v>48000</v>
      </c>
      <c r="E182" s="259">
        <f>'[1]15. Administratíva'!$AI$102</f>
        <v>48000</v>
      </c>
      <c r="F182" s="259">
        <f>'[1]15. Administratíva'!$AJ$102</f>
        <v>0</v>
      </c>
      <c r="G182" s="260">
        <f>'[1]15. Administratíva'!$AK$102</f>
        <v>0</v>
      </c>
      <c r="H182" s="261">
        <f t="shared" ref="H182:H183" si="113">SUM(I182:K182)</f>
        <v>0</v>
      </c>
      <c r="I182" s="259">
        <f>'[1]15. Administratíva'!$AL$102</f>
        <v>0</v>
      </c>
      <c r="J182" s="259">
        <f>'[1]15. Administratíva'!$AM$102</f>
        <v>0</v>
      </c>
      <c r="K182" s="260">
        <f>'[1]15. Administratíva'!$AN$102</f>
        <v>0</v>
      </c>
    </row>
    <row r="183" spans="1:11" ht="16.5" thickBot="1" x14ac:dyDescent="0.3">
      <c r="A183" s="124"/>
      <c r="B183" s="302" t="s">
        <v>416</v>
      </c>
      <c r="C183" s="298" t="s">
        <v>418</v>
      </c>
      <c r="D183" s="264">
        <f>SUM(E183:G183)</f>
        <v>1250000</v>
      </c>
      <c r="E183" s="265">
        <f>'[1]15. Administratíva'!$AI$103</f>
        <v>175000</v>
      </c>
      <c r="F183" s="265">
        <f>'[1]15. Administratíva'!$AJ$103</f>
        <v>0</v>
      </c>
      <c r="G183" s="266">
        <f>'[1]15. Administratíva'!$AK$103</f>
        <v>1075000</v>
      </c>
      <c r="H183" s="264">
        <f t="shared" si="113"/>
        <v>285472.51</v>
      </c>
      <c r="I183" s="265">
        <f>'[1]15. Administratíva'!$AL$103</f>
        <v>45647.5</v>
      </c>
      <c r="J183" s="265">
        <f>'[1]15. Administratíva'!$AM$103</f>
        <v>0</v>
      </c>
      <c r="K183" s="266">
        <f>'[1]15. Administratíva'!$AN$103</f>
        <v>239825.01</v>
      </c>
    </row>
    <row r="186" spans="1:11" x14ac:dyDescent="0.2">
      <c r="A186" s="124"/>
    </row>
    <row r="192" spans="1:11" x14ac:dyDescent="0.2">
      <c r="A192" s="124"/>
    </row>
    <row r="193" spans="1:1" x14ac:dyDescent="0.2">
      <c r="A193" s="124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02"/>
    </row>
    <row r="202" spans="1:1" x14ac:dyDescent="0.2">
      <c r="A202" s="124"/>
    </row>
  </sheetData>
  <sheetProtection selectLockedCells="1" selectUnlockedCells="1"/>
  <mergeCells count="4">
    <mergeCell ref="B1:K2"/>
    <mergeCell ref="B4:C5"/>
    <mergeCell ref="D3:G4"/>
    <mergeCell ref="H3:K4"/>
  </mergeCells>
  <phoneticPr fontId="0" type="noConversion"/>
  <pageMargins left="0" right="0" top="0" bottom="0" header="0.51181102362204722" footer="0.51181102362204722"/>
  <pageSetup paperSize="8" scale="32" firstPageNumber="0" fitToHeight="3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702" t="s">
        <v>393</v>
      </c>
      <c r="B1" s="702"/>
      <c r="C1" s="702"/>
      <c r="D1" s="702"/>
      <c r="E1" s="702"/>
      <c r="F1" s="702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708" t="s">
        <v>132</v>
      </c>
      <c r="E5" s="708"/>
      <c r="F5" s="708"/>
      <c r="G5" s="708"/>
      <c r="H5" s="709" t="s">
        <v>133</v>
      </c>
      <c r="I5" s="709"/>
      <c r="J5" s="709"/>
      <c r="K5" s="709"/>
      <c r="L5" s="703" t="s">
        <v>2</v>
      </c>
      <c r="M5" s="703"/>
      <c r="N5" s="703"/>
      <c r="O5" s="703"/>
      <c r="P5" s="703" t="s">
        <v>391</v>
      </c>
      <c r="Q5" s="703"/>
      <c r="R5" s="703"/>
      <c r="S5" s="703"/>
      <c r="T5" s="703" t="s">
        <v>387</v>
      </c>
      <c r="U5" s="703"/>
      <c r="V5" s="703"/>
      <c r="W5" s="703"/>
    </row>
    <row r="6" spans="1:23" ht="12.75" customHeight="1" thickBot="1" x14ac:dyDescent="0.25">
      <c r="A6" s="61"/>
      <c r="B6" s="705" t="s">
        <v>134</v>
      </c>
      <c r="C6" s="705"/>
      <c r="D6" s="129" t="s">
        <v>135</v>
      </c>
      <c r="E6" s="706" t="s">
        <v>136</v>
      </c>
      <c r="F6" s="706"/>
      <c r="G6" s="706"/>
      <c r="H6" s="129" t="s">
        <v>135</v>
      </c>
      <c r="I6" s="707" t="s">
        <v>137</v>
      </c>
      <c r="J6" s="707"/>
      <c r="K6" s="707"/>
      <c r="L6" s="130" t="s">
        <v>135</v>
      </c>
      <c r="M6" s="704" t="s">
        <v>138</v>
      </c>
      <c r="N6" s="704"/>
      <c r="O6" s="704"/>
      <c r="P6" s="130" t="s">
        <v>135</v>
      </c>
      <c r="Q6" s="704" t="s">
        <v>138</v>
      </c>
      <c r="R6" s="704"/>
      <c r="S6" s="704"/>
      <c r="T6" s="130" t="s">
        <v>135</v>
      </c>
      <c r="U6" s="704" t="s">
        <v>139</v>
      </c>
      <c r="V6" s="704"/>
      <c r="W6" s="704"/>
    </row>
    <row r="7" spans="1:23" ht="24.75" thickBot="1" x14ac:dyDescent="0.25">
      <c r="A7" s="61"/>
      <c r="B7" s="705"/>
      <c r="C7" s="705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'[3]1.Plánovanie, manažment a kontr'!#REF!</f>
        <v>#REF!</v>
      </c>
      <c r="N12" s="73" t="e">
        <f>'[3]1.Plánovanie, manažment a kontr'!#REF!</f>
        <v>#REF!</v>
      </c>
      <c r="O12" s="75" t="e">
        <f>'[3]1.Plánovanie,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'[3]1.Plánovanie, manažment a kontr'!$H$5</f>
        <v>39379</v>
      </c>
      <c r="V12" s="73">
        <f>'[3]1.Plánovanie, manažment a kontr'!$I$5</f>
        <v>0</v>
      </c>
      <c r="W12" s="75">
        <f>'[3]1.Plánovanie,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'[3]1.Plánovanie, manažment a kontr'!#REF!</f>
        <v>#REF!</v>
      </c>
      <c r="N13" s="73" t="e">
        <f>'[3]1.Plánovanie, manažment a kontr'!#REF!</f>
        <v>#REF!</v>
      </c>
      <c r="O13" s="75" t="e">
        <f>'[3]1.Plánovanie,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'[3]1.Plánovanie, manažment a kontr'!$H$16</f>
        <v>26321</v>
      </c>
      <c r="V13" s="73">
        <f>'[3]1.Plánovanie, manažment a kontr'!$I$16</f>
        <v>0</v>
      </c>
      <c r="W13" s="75">
        <f>'[3]1.Plánovanie,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'[3]1.Plánovanie, manažment a kontr'!#REF!</f>
        <v>#REF!</v>
      </c>
      <c r="N14" s="73" t="e">
        <f>'[3]1.Plánovanie, manažment a kontr'!#REF!</f>
        <v>#REF!</v>
      </c>
      <c r="O14" s="75" t="e">
        <f>'[3]1.Plánovanie,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'[3]1.Plánovanie, manažment a kontr'!$H$27</f>
        <v>34932</v>
      </c>
      <c r="V14" s="73">
        <f>'[3]1.Plánovanie, manažment a kontr'!$I$27</f>
        <v>0</v>
      </c>
      <c r="W14" s="75">
        <f>'[3]1.Plánovanie,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'[3]1.Plánovanie, manažment a kontr'!#REF!</f>
        <v>#REF!</v>
      </c>
      <c r="N15" s="73" t="e">
        <f>'[3]1.Plánovanie, manažment a kontr'!#REF!</f>
        <v>#REF!</v>
      </c>
      <c r="O15" s="75" t="e">
        <f>'[3]1.Plánovanie,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'[3]1.Plánovanie, manažment a kontr'!$H$31</f>
        <v>0</v>
      </c>
      <c r="V15" s="73">
        <f>'[3]1.Plánovanie, manažment a kontr'!$I$31</f>
        <v>0</v>
      </c>
      <c r="W15" s="75">
        <f>'[3]1.Plánovanie,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'[3]1.Plánovanie, manažment a kontr'!#REF!</f>
        <v>#REF!</v>
      </c>
      <c r="N17" s="73" t="e">
        <f>'[3]1.Plánovanie, manažment a kontr'!#REF!</f>
        <v>#REF!</v>
      </c>
      <c r="O17" s="75" t="e">
        <f>'[3]1.Plánovanie,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'[3]1.Plánovanie, manažment a kontr'!$H$35</f>
        <v>2046</v>
      </c>
      <c r="V17" s="73">
        <f>'[3]1.Plánovanie, manažment a kontr'!$I$35</f>
        <v>0</v>
      </c>
      <c r="W17" s="75">
        <f>'[3]1.Plánovanie,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'[3]1.Plánovanie, manažment a kontr'!#REF!</f>
        <v>#REF!</v>
      </c>
      <c r="N18" s="73" t="e">
        <f>'[3]1.Plánovanie, manažment a kontr'!#REF!</f>
        <v>#REF!</v>
      </c>
      <c r="O18" s="75" t="e">
        <f>'[3]1.Plánovanie,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'[3]1.Plánovanie, manažment a kontr'!$H$47</f>
        <v>10904</v>
      </c>
      <c r="V18" s="73">
        <f>'[3]1.Plánovanie, manažment a kontr'!$I$47</f>
        <v>0</v>
      </c>
      <c r="W18" s="75">
        <f>'[3]1.Plánovanie,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'[3]1.Plánovanie, manažment a kontr'!#REF!</f>
        <v>#REF!</v>
      </c>
      <c r="N19" s="73" t="e">
        <f>'[3]1.Plánovanie, manažment a kontr'!#REF!</f>
        <v>#REF!</v>
      </c>
      <c r="O19" s="75" t="e">
        <f>'[3]1.Plánovanie,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'[3]1.Plánovanie, manažment a kontr'!$H$50</f>
        <v>9650</v>
      </c>
      <c r="V19" s="73">
        <f>'[3]1.Plánovanie, manažment a kontr'!$I$50</f>
        <v>22568</v>
      </c>
      <c r="W19" s="75">
        <f>'[3]1.Plánovanie,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'[3]1.Plánovanie, manažment a kontr'!#REF!</f>
        <v>#REF!</v>
      </c>
      <c r="N20" s="172" t="e">
        <f>'[3]1.Plánovanie, manažment a kontr'!#REF!</f>
        <v>#REF!</v>
      </c>
      <c r="O20" s="174" t="e">
        <f>'[3]1.Plánovanie,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'[3]1.Plánovanie, manažment a kontr'!$H$62</f>
        <v>44354</v>
      </c>
      <c r="V20" s="172">
        <f>'[3]1.Plánovanie, manažment a kontr'!$I$62</f>
        <v>0</v>
      </c>
      <c r="W20" s="174">
        <f>'[3]1.Plánovanie,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'[3]1.Plánovanie, manažment a kontr'!#REF!</f>
        <v>#REF!</v>
      </c>
      <c r="N21" s="172" t="e">
        <f>'[3]1.Plánovanie, manažment a kontr'!#REF!</f>
        <v>#REF!</v>
      </c>
      <c r="O21" s="174" t="e">
        <f>'[3]1.Plánovanie,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'[3]1.Plánovanie, manažment a kontr'!$H$72</f>
        <v>3600</v>
      </c>
      <c r="V21" s="172">
        <f>'[3]1.Plánovanie, manažment a kontr'!$I$72</f>
        <v>0</v>
      </c>
      <c r="W21" s="174">
        <f>'[3]1.Plánovanie,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'[3]1.Plánovanie, manažment a kontr'!#REF!</f>
        <v>#REF!</v>
      </c>
      <c r="N22" s="172" t="e">
        <f>'[3]1.Plánovanie, manažment a kontr'!#REF!</f>
        <v>#REF!</v>
      </c>
      <c r="O22" s="174" t="e">
        <f>'[3]1.Plánovanie,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'[3]1.Plánovanie, manažment a kontr'!$H$75</f>
        <v>8366</v>
      </c>
      <c r="V22" s="172">
        <f>'[3]1.Plánovanie, manažment a kontr'!$I$75</f>
        <v>0</v>
      </c>
      <c r="W22" s="174">
        <f>'[3]1.Plánovanie,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'[3]1.Plánovanie, manažment a kontr'!#REF!</f>
        <v>#REF!</v>
      </c>
      <c r="N23" s="181" t="e">
        <f>'[3]1.Plánovanie, manažment a kontr'!#REF!</f>
        <v>#REF!</v>
      </c>
      <c r="O23" s="182" t="e">
        <f>'[3]1.Plánovanie,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'[3]1.Plánovanie, manažment a kontr'!$H$79</f>
        <v>0</v>
      </c>
      <c r="V23" s="181">
        <f>'[3]1.Plánovanie, manažment a kontr'!$I$79</f>
        <v>0</v>
      </c>
      <c r="W23" s="182">
        <f>'[3]1.Plánovanie,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'[3]2. Propagácia a marketing'!#REF!</f>
        <v>#REF!</v>
      </c>
      <c r="G26" s="74" t="e">
        <f>'[3]2.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'[3]2. Propagácia a marketing'!#REF!</f>
        <v>#REF!</v>
      </c>
      <c r="K26" s="75" t="e">
        <f>'[3]2. Propagácia a marketing'!#REF!</f>
        <v>#REF!</v>
      </c>
      <c r="L26" s="76" t="e">
        <f t="shared" ref="L26:L33" si="11">SUM(M26:O26)</f>
        <v>#REF!</v>
      </c>
      <c r="M26" s="73" t="e">
        <f>'[3]2. Propagácia a marketing'!#REF!</f>
        <v>#REF!</v>
      </c>
      <c r="N26" s="73" t="e">
        <f>'[3]2. Propagácia a marketing'!#REF!</f>
        <v>#REF!</v>
      </c>
      <c r="O26" s="75" t="e">
        <f>'[3]2.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'[3]2. Propagácia a marketing'!$H$5</f>
        <v>130</v>
      </c>
      <c r="V26" s="73">
        <f>'[3]2. Propagácia a marketing'!$I$5</f>
        <v>0</v>
      </c>
      <c r="W26" s="75">
        <f>'[3]2.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'[3]2. Propagácia a marketing'!#REF!</f>
        <v>#REF!</v>
      </c>
      <c r="G27" s="74" t="e">
        <f>'[3]2. Propagácia a marketing'!#REF!</f>
        <v>#REF!</v>
      </c>
      <c r="H27" s="72" t="e">
        <f t="shared" si="10"/>
        <v>#REF!</v>
      </c>
      <c r="I27" s="73">
        <v>239</v>
      </c>
      <c r="J27" s="73" t="e">
        <f>'[3]2. Propagácia a marketing'!#REF!</f>
        <v>#REF!</v>
      </c>
      <c r="K27" s="75" t="e">
        <f>'[3]2. Propagácia a marketing'!#REF!</f>
        <v>#REF!</v>
      </c>
      <c r="L27" s="76" t="e">
        <f t="shared" si="11"/>
        <v>#REF!</v>
      </c>
      <c r="M27" s="73" t="e">
        <f>'[3]2. Propagácia a marketing'!#REF!</f>
        <v>#REF!</v>
      </c>
      <c r="N27" s="73" t="e">
        <f>'[3]2. Propagácia a marketing'!#REF!</f>
        <v>#REF!</v>
      </c>
      <c r="O27" s="75" t="e">
        <f>'[3]2.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'[3]2. Propagácia a marketing'!$H$7</f>
        <v>1000</v>
      </c>
      <c r="V27" s="73">
        <f>'[3]2. Propagácia a marketing'!$I$7</f>
        <v>0</v>
      </c>
      <c r="W27" s="75">
        <f>'[3]2.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'[3]2. Propagácia a marketing'!#REF!</f>
        <v>#REF!</v>
      </c>
      <c r="G28" s="74" t="e">
        <f>'[3]2. Propagácia a marketing'!#REF!</f>
        <v>#REF!</v>
      </c>
      <c r="H28" s="72" t="e">
        <f t="shared" si="10"/>
        <v>#REF!</v>
      </c>
      <c r="I28" s="73">
        <v>1669</v>
      </c>
      <c r="J28" s="73" t="e">
        <f>'[3]2. Propagácia a marketing'!#REF!</f>
        <v>#REF!</v>
      </c>
      <c r="K28" s="75" t="e">
        <f>'[3]2. Propagácia a marketing'!#REF!</f>
        <v>#REF!</v>
      </c>
      <c r="L28" s="76" t="e">
        <f t="shared" si="11"/>
        <v>#REF!</v>
      </c>
      <c r="M28" s="73" t="e">
        <f>'[3]2. Propagácia a marketing'!#REF!</f>
        <v>#REF!</v>
      </c>
      <c r="N28" s="73" t="e">
        <f>'[3]2. Propagácia a marketing'!#REF!</f>
        <v>#REF!</v>
      </c>
      <c r="O28" s="75" t="e">
        <f>'[3]2.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'[3]2. Propagácia a marketing'!$H$11</f>
        <v>5765</v>
      </c>
      <c r="V28" s="73">
        <f>'[3]2. Propagácia a marketing'!$I$11</f>
        <v>0</v>
      </c>
      <c r="W28" s="75">
        <f>'[3]2.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'[3]2. Propagácia a marketing'!#REF!</f>
        <v>#REF!</v>
      </c>
      <c r="G29" s="74" t="e">
        <f>'[3]2. Propagácia a marketing'!#REF!</f>
        <v>#REF!</v>
      </c>
      <c r="H29" s="72" t="e">
        <f t="shared" si="10"/>
        <v>#REF!</v>
      </c>
      <c r="I29" s="73">
        <v>2024</v>
      </c>
      <c r="J29" s="73" t="e">
        <f>'[3]2. Propagácia a marketing'!#REF!</f>
        <v>#REF!</v>
      </c>
      <c r="K29" s="75" t="e">
        <f>'[3]2. Propagácia a marketing'!#REF!</f>
        <v>#REF!</v>
      </c>
      <c r="L29" s="76" t="e">
        <f t="shared" si="11"/>
        <v>#REF!</v>
      </c>
      <c r="M29" s="73" t="e">
        <f>'[3]2. Propagácia a marketing'!#REF!</f>
        <v>#REF!</v>
      </c>
      <c r="N29" s="73" t="e">
        <f>'[3]2. Propagácia a marketing'!#REF!</f>
        <v>#REF!</v>
      </c>
      <c r="O29" s="75" t="e">
        <f>'[3]2.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'[3]2. Propagácia a marketing'!$H$19</f>
        <v>1000</v>
      </c>
      <c r="V29" s="73">
        <f>'[3]2. Propagácia a marketing'!$I$19</f>
        <v>0</v>
      </c>
      <c r="W29" s="75">
        <f>'[3]2.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'[3]2. Propagácia a marketing'!#REF!</f>
        <v>#REF!</v>
      </c>
      <c r="G30" s="74" t="e">
        <f>'[3]2. Propagácia a marketing'!#REF!</f>
        <v>#REF!</v>
      </c>
      <c r="H30" s="72" t="e">
        <f t="shared" si="10"/>
        <v>#REF!</v>
      </c>
      <c r="I30" s="73">
        <v>764</v>
      </c>
      <c r="J30" s="73" t="e">
        <f>'[3]2. Propagácia a marketing'!#REF!</f>
        <v>#REF!</v>
      </c>
      <c r="K30" s="75" t="e">
        <f>'[3]2. Propagácia a marketing'!#REF!</f>
        <v>#REF!</v>
      </c>
      <c r="L30" s="76" t="e">
        <f t="shared" si="11"/>
        <v>#REF!</v>
      </c>
      <c r="M30" s="73" t="e">
        <f>'[3]2. Propagácia a marketing'!#REF!</f>
        <v>#REF!</v>
      </c>
      <c r="N30" s="73" t="e">
        <f>'[3]2. Propagácia a marketing'!#REF!</f>
        <v>#REF!</v>
      </c>
      <c r="O30" s="75" t="e">
        <f>'[3]2.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'[3]2. Propagácia a marketing'!$H$21</f>
        <v>0</v>
      </c>
      <c r="V30" s="73">
        <f>'[3]2. Propagácia a marketing'!$I$21</f>
        <v>0</v>
      </c>
      <c r="W30" s="75">
        <f>'[3]2.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'[3]2. Propagácia a marketing'!#REF!</f>
        <v>#REF!</v>
      </c>
      <c r="G31" s="74" t="e">
        <f>'[3]2. Propagácia a marketing'!#REF!</f>
        <v>#REF!</v>
      </c>
      <c r="H31" s="72" t="e">
        <f t="shared" si="10"/>
        <v>#REF!</v>
      </c>
      <c r="I31" s="73">
        <v>1363</v>
      </c>
      <c r="J31" s="73" t="e">
        <f>'[3]2. Propagácia a marketing'!#REF!</f>
        <v>#REF!</v>
      </c>
      <c r="K31" s="75" t="e">
        <f>'[3]2. Propagácia a marketing'!#REF!</f>
        <v>#REF!</v>
      </c>
      <c r="L31" s="76" t="e">
        <f t="shared" si="11"/>
        <v>#REF!</v>
      </c>
      <c r="M31" s="73" t="e">
        <f>'[3]2. Propagácia a marketing'!#REF!</f>
        <v>#REF!</v>
      </c>
      <c r="N31" s="73" t="e">
        <f>'[3]2. Propagácia a marketing'!#REF!</f>
        <v>#REF!</v>
      </c>
      <c r="O31" s="75" t="e">
        <f>'[3]2.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'[3]2. Propagácia a marketing'!$H$24</f>
        <v>0</v>
      </c>
      <c r="V31" s="73">
        <f>'[3]2. Propagácia a marketing'!$I$24</f>
        <v>0</v>
      </c>
      <c r="W31" s="75">
        <f>'[3]2.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'[3]2. Propagácia a marketing'!#REF!</f>
        <v>#REF!</v>
      </c>
      <c r="G32" s="74" t="e">
        <f>'[3]2. Propagácia a marketing'!#REF!</f>
        <v>#REF!</v>
      </c>
      <c r="H32" s="72" t="e">
        <f t="shared" si="10"/>
        <v>#REF!</v>
      </c>
      <c r="I32" s="73">
        <v>1530</v>
      </c>
      <c r="J32" s="73" t="e">
        <f>'[3]2. Propagácia a marketing'!#REF!</f>
        <v>#REF!</v>
      </c>
      <c r="K32" s="75" t="e">
        <f>'[3]2. Propagácia a marketing'!#REF!</f>
        <v>#REF!</v>
      </c>
      <c r="L32" s="76" t="e">
        <f t="shared" si="11"/>
        <v>#REF!</v>
      </c>
      <c r="M32" s="73" t="e">
        <f>'[3]2. Propagácia a marketing'!#REF!</f>
        <v>#REF!</v>
      </c>
      <c r="N32" s="73" t="e">
        <f>'[3]2. Propagácia a marketing'!#REF!</f>
        <v>#REF!</v>
      </c>
      <c r="O32" s="75" t="e">
        <f>'[3]2.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'[3]2. Propagácia a marketing'!$H$26</f>
        <v>1480</v>
      </c>
      <c r="V32" s="73">
        <f>'[3]2. Propagácia a marketing'!$I$26</f>
        <v>0</v>
      </c>
      <c r="W32" s="75">
        <f>'[3]2.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'[3]2. Propagácia a marketing'!#REF!</f>
        <v>#REF!</v>
      </c>
      <c r="G33" s="74" t="e">
        <f>'[3]2. Propagácia a marketing'!#REF!</f>
        <v>#REF!</v>
      </c>
      <c r="H33" s="72" t="e">
        <f t="shared" si="10"/>
        <v>#REF!</v>
      </c>
      <c r="I33" s="73">
        <v>0</v>
      </c>
      <c r="J33" s="73" t="e">
        <f>'[3]2. Propagácia a marketing'!#REF!</f>
        <v>#REF!</v>
      </c>
      <c r="K33" s="75" t="e">
        <f>'[3]2. Propagácia a marketing'!#REF!</f>
        <v>#REF!</v>
      </c>
      <c r="L33" s="76" t="e">
        <f t="shared" si="11"/>
        <v>#REF!</v>
      </c>
      <c r="M33" s="73" t="e">
        <f>'[3]2. Propagácia a marketing'!#REF!</f>
        <v>#REF!</v>
      </c>
      <c r="N33" s="73" t="e">
        <f>'[3]2. Propagácia a marketing'!#REF!</f>
        <v>#REF!</v>
      </c>
      <c r="O33" s="75" t="e">
        <f>'[3]2.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'[3]2. Propagácia a marketing'!$H$28</f>
        <v>0</v>
      </c>
      <c r="V33" s="73">
        <f>'[3]2. Propagácia a marketing'!$I$28</f>
        <v>0</v>
      </c>
      <c r="W33" s="75">
        <f>'[3]2.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'[3]2. Propagácia a marketing'!#REF!</f>
        <v>#REF!</v>
      </c>
      <c r="G35" s="74" t="e">
        <f>'[3]2. Propagácia a marketing'!#REF!</f>
        <v>#REF!</v>
      </c>
      <c r="H35" s="72" t="e">
        <f>SUM(I35:K35)</f>
        <v>#REF!</v>
      </c>
      <c r="I35" s="73">
        <v>9757</v>
      </c>
      <c r="J35" s="73" t="e">
        <f>'[3]2. Propagácia a marketing'!#REF!</f>
        <v>#REF!</v>
      </c>
      <c r="K35" s="75" t="e">
        <f>'[3]2. Propagácia a marketing'!#REF!</f>
        <v>#REF!</v>
      </c>
      <c r="L35" s="76" t="e">
        <f>SUM(M35:O35)</f>
        <v>#REF!</v>
      </c>
      <c r="M35" s="73" t="e">
        <f>'[3]2. Propagácia a marketing'!#REF!</f>
        <v>#REF!</v>
      </c>
      <c r="N35" s="73" t="e">
        <f>'[3]2. Propagácia a marketing'!#REF!</f>
        <v>#REF!</v>
      </c>
      <c r="O35" s="75" t="e">
        <f>'[3]2.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'[3]2. Propagácia a marketing'!$H$32</f>
        <v>3580</v>
      </c>
      <c r="V35" s="73">
        <f>'[3]2. Propagácia a marketing'!$I$32</f>
        <v>0</v>
      </c>
      <c r="W35" s="75">
        <f>'[3]2.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'[3]2. Propagácia a marketing'!#REF!</f>
        <v>#REF!</v>
      </c>
      <c r="G36" s="74" t="e">
        <f>'[3]2. Propagácia a marketing'!#REF!</f>
        <v>#REF!</v>
      </c>
      <c r="H36" s="72" t="e">
        <f>SUM(I36:K36)</f>
        <v>#REF!</v>
      </c>
      <c r="I36" s="73">
        <v>1807</v>
      </c>
      <c r="J36" s="73" t="e">
        <f>'[3]2. Propagácia a marketing'!#REF!</f>
        <v>#REF!</v>
      </c>
      <c r="K36" s="75" t="e">
        <f>'[3]2. Propagácia a marketing'!#REF!</f>
        <v>#REF!</v>
      </c>
      <c r="L36" s="76" t="e">
        <f>SUM(M36:O36)</f>
        <v>#REF!</v>
      </c>
      <c r="M36" s="73" t="e">
        <f>'[3]2. Propagácia a marketing'!#REF!</f>
        <v>#REF!</v>
      </c>
      <c r="N36" s="73" t="e">
        <f>'[3]2. Propagácia a marketing'!#REF!</f>
        <v>#REF!</v>
      </c>
      <c r="O36" s="75" t="e">
        <f>'[3]2.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'[3]2. Propagácia a marketing'!$H$54</f>
        <v>570</v>
      </c>
      <c r="V36" s="73" t="e">
        <f>'[3]2. Propagácia a marketing'!$I$54</f>
        <v>#REF!</v>
      </c>
      <c r="W36" s="75" t="e">
        <f>'[3]2.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'[3]2. Propagácia a marketing'!#REF!</f>
        <v>#REF!</v>
      </c>
      <c r="G37" s="180" t="e">
        <f>'[3]2. Propagácia a marketing'!#REF!</f>
        <v>#REF!</v>
      </c>
      <c r="H37" s="186" t="e">
        <f>SUM(I37:K37)</f>
        <v>#REF!</v>
      </c>
      <c r="I37" s="181">
        <v>4354</v>
      </c>
      <c r="J37" s="181" t="e">
        <f>'[3]2. Propagácia a marketing'!#REF!</f>
        <v>#REF!</v>
      </c>
      <c r="K37" s="182" t="e">
        <f>'[3]2. Propagácia a marketing'!#REF!</f>
        <v>#REF!</v>
      </c>
      <c r="L37" s="187" t="e">
        <f>SUM(M37:O37)</f>
        <v>#REF!</v>
      </c>
      <c r="M37" s="179" t="e">
        <f>'[3]2. Propagácia a marketing'!#REF!</f>
        <v>#REF!</v>
      </c>
      <c r="N37" s="179" t="e">
        <f>'[3]2. Propagácia a marketing'!#REF!</f>
        <v>#REF!</v>
      </c>
      <c r="O37" s="188" t="e">
        <f>'[3]2.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'[3]2. Propagácia a marketing'!$H$60</f>
        <v>1000</v>
      </c>
      <c r="V37" s="179" t="e">
        <f>'[3]2. Propagácia a marketing'!$I$60</f>
        <v>#REF!</v>
      </c>
      <c r="W37" s="188" t="e">
        <f>'[3]2.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'[3]3.Interné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'[3]3.Interné služby'!#REF!</f>
        <v>#REF!</v>
      </c>
      <c r="L39" s="175" t="e">
        <f>SUM(M39:O39)</f>
        <v>#REF!</v>
      </c>
      <c r="M39" s="172" t="e">
        <f>'[3]3.Interné služby'!#REF!</f>
        <v>#REF!</v>
      </c>
      <c r="N39" s="172" t="e">
        <f>'[3]3.Interné služby'!#REF!</f>
        <v>#REF!</v>
      </c>
      <c r="O39" s="174" t="e">
        <f>'[3]3.Interné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'[3]3.Interné služby'!$H$4</f>
        <v>46864</v>
      </c>
      <c r="V39" s="172">
        <f>'[3]3.Interné služby'!$I$4</f>
        <v>34000</v>
      </c>
      <c r="W39" s="174">
        <f>'[3]3.Interné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'[3]3.Interné služby'!#REF!</f>
        <v>#REF!</v>
      </c>
      <c r="G40" s="173" t="e">
        <f>'[3]3.Interné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'[3]3.Interné služby'!#REF!</f>
        <v>#REF!</v>
      </c>
      <c r="L40" s="175" t="e">
        <f>SUM(M40:O40)</f>
        <v>#REF!</v>
      </c>
      <c r="M40" s="172">
        <v>30256</v>
      </c>
      <c r="N40" s="172" t="e">
        <f>'[3]3.Interné služby'!#REF!</f>
        <v>#REF!</v>
      </c>
      <c r="O40" s="174" t="e">
        <f>'[3]3.Interné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'[3]3.Interné služby'!$H$31</f>
        <v>10900</v>
      </c>
      <c r="V40" s="172">
        <f>'[3]3.Interné služby'!$I$31</f>
        <v>0</v>
      </c>
      <c r="W40" s="174">
        <f>'[3]3.Interné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'[3]3.Interné služby'!#REF!</f>
        <v>#REF!</v>
      </c>
      <c r="G42" s="74" t="e">
        <f>'[3]3.Interné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'[3]3.Interné služby'!#REF!</f>
        <v>#REF!</v>
      </c>
      <c r="L42" s="76" t="e">
        <f t="shared" ref="L42:L47" si="18">SUM(M42:O42)</f>
        <v>#REF!</v>
      </c>
      <c r="M42" s="73" t="e">
        <f>'[3]3.Interné služby'!#REF!</f>
        <v>#REF!</v>
      </c>
      <c r="N42" s="73" t="e">
        <f>'[3]3.Interné služby'!#REF!</f>
        <v>#REF!</v>
      </c>
      <c r="O42" s="75" t="e">
        <f>'[3]3.Interné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'[3]3.Interné služby'!$H$37</f>
        <v>3250</v>
      </c>
      <c r="V42" s="73">
        <f>'[3]3.Interné služby'!$I$37</f>
        <v>0</v>
      </c>
      <c r="W42" s="75">
        <f>'[3]3.Interné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'[3]3.Interné služby'!#REF!</f>
        <v>#REF!</v>
      </c>
      <c r="G43" s="74" t="e">
        <f>'[3]3.Interné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'[3]3.Interné služby'!#REF!</f>
        <v>#REF!</v>
      </c>
      <c r="L43" s="76" t="e">
        <f t="shared" si="18"/>
        <v>#REF!</v>
      </c>
      <c r="M43" s="73">
        <v>800</v>
      </c>
      <c r="N43" s="73" t="e">
        <f>'[3]3.Interné služby'!#REF!</f>
        <v>#REF!</v>
      </c>
      <c r="O43" s="75" t="e">
        <f>'[3]3.Interné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'[3]3.Interné služby'!$H$43</f>
        <v>500</v>
      </c>
      <c r="V43" s="73">
        <f>'[3]3.Interné služby'!$I$43</f>
        <v>0</v>
      </c>
      <c r="W43" s="75">
        <f>'[3]3.Interné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'[3]3.Interné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'[3]3.Interné služby'!#REF!</f>
        <v>#REF!</v>
      </c>
      <c r="L44" s="76" t="e">
        <f t="shared" si="18"/>
        <v>#REF!</v>
      </c>
      <c r="M44" s="73" t="e">
        <f>'[3]3.Interné služby'!#REF!</f>
        <v>#REF!</v>
      </c>
      <c r="N44" s="73">
        <v>20700</v>
      </c>
      <c r="O44" s="75" t="e">
        <f>'[3]3.Interné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'[2]3.Interné služby'!$Q$19</f>
        <v>5000</v>
      </c>
      <c r="V44" s="73">
        <f>'[3]3.Interné služby'!$I$47</f>
        <v>0</v>
      </c>
      <c r="W44" s="75">
        <f>'[3]3.Interné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'[3]3.Interné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'[3]3.Interné služby'!#REF!</f>
        <v>#REF!</v>
      </c>
      <c r="L45" s="76" t="e">
        <f t="shared" si="18"/>
        <v>#REF!</v>
      </c>
      <c r="M45" s="73" t="e">
        <f>'[3]3.Interné služby'!#REF!</f>
        <v>#REF!</v>
      </c>
      <c r="N45" s="73" t="e">
        <f>'[3]3.Interné služby'!#REF!</f>
        <v>#REF!</v>
      </c>
      <c r="O45" s="75" t="e">
        <f>'[3]3.Interné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'[3]3.Interné služby'!$H$99</f>
        <v>4000</v>
      </c>
      <c r="V45" s="73" t="e">
        <f>'[3]3.Interné služby'!$I$99</f>
        <v>#REF!</v>
      </c>
      <c r="W45" s="75" t="e">
        <f>'[3]3.Interné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'[3]3.Interné služby'!#REF!</f>
        <v>#REF!</v>
      </c>
      <c r="G46" s="173" t="e">
        <f>'[3]3.Interné služby'!#REF!</f>
        <v>#REF!</v>
      </c>
      <c r="H46" s="171" t="e">
        <f t="shared" si="17"/>
        <v>#REF!</v>
      </c>
      <c r="I46" s="172">
        <v>2400</v>
      </c>
      <c r="J46" s="172" t="e">
        <f>'[3]3.Interné služby'!#REF!</f>
        <v>#REF!</v>
      </c>
      <c r="K46" s="174" t="e">
        <f>'[3]3.Interné služby'!#REF!</f>
        <v>#REF!</v>
      </c>
      <c r="L46" s="175" t="e">
        <f t="shared" si="18"/>
        <v>#REF!</v>
      </c>
      <c r="M46" s="172">
        <v>3900</v>
      </c>
      <c r="N46" s="172" t="e">
        <f>'[3]3.Interné služby'!#REF!</f>
        <v>#REF!</v>
      </c>
      <c r="O46" s="174" t="e">
        <f>'[3]3.Interné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'[3]3.Interné služby'!$H$101</f>
        <v>3700</v>
      </c>
      <c r="V46" s="172" t="e">
        <f>'[3]3.Interné služby'!$I$102</f>
        <v>#REF!</v>
      </c>
      <c r="W46" s="174" t="e">
        <f>'[3]3.Interné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'[3]3.Interné služby'!#REF!</f>
        <v>#REF!</v>
      </c>
      <c r="G47" s="180" t="e">
        <f>'[3]3.Interné služby'!#REF!</f>
        <v>#REF!</v>
      </c>
      <c r="H47" s="186" t="e">
        <f t="shared" si="17"/>
        <v>#REF!</v>
      </c>
      <c r="I47" s="181">
        <v>1630</v>
      </c>
      <c r="J47" s="181" t="e">
        <f>'[3]3.Interné služby'!#REF!</f>
        <v>#REF!</v>
      </c>
      <c r="K47" s="182" t="e">
        <f>'[3]3.Interné služby'!#REF!</f>
        <v>#REF!</v>
      </c>
      <c r="L47" s="187" t="e">
        <f t="shared" si="18"/>
        <v>#REF!</v>
      </c>
      <c r="M47" s="179" t="e">
        <f>'[3]3.Interné služby'!#REF!</f>
        <v>#REF!</v>
      </c>
      <c r="N47" s="179" t="e">
        <f>'[3]3.Interné služby'!#REF!</f>
        <v>#REF!</v>
      </c>
      <c r="O47" s="188" t="e">
        <f>'[3]3.Interné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'[3]3.Interné služby'!$H$108</f>
        <v>1200</v>
      </c>
      <c r="V47" s="179" t="e">
        <f>'[3]3.Interné služby'!$I$108</f>
        <v>#REF!</v>
      </c>
      <c r="W47" s="188" t="e">
        <f>'[3]3.Interné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'[3]4.Služby občanov'!#REF!</f>
        <v>#REF!</v>
      </c>
      <c r="G49" s="173" t="e">
        <f>'[3]4.Služby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'[3]4.Služby občanov'!#REF!</f>
        <v>#REF!</v>
      </c>
      <c r="L49" s="175" t="e">
        <f>SUM(M49:O49)</f>
        <v>#REF!</v>
      </c>
      <c r="M49" s="172" t="e">
        <f>'[3]4.Služby občanov'!#REF!</f>
        <v>#REF!</v>
      </c>
      <c r="N49" s="172" t="e">
        <f>'[3]4.Služby občanov'!#REF!</f>
        <v>#REF!</v>
      </c>
      <c r="O49" s="174" t="e">
        <f>'[3]4.Služby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'[3]4.Služby občanov'!$H$4</f>
        <v>15600</v>
      </c>
      <c r="V49" s="172">
        <f>'[3]4.Služby občanov'!$I$4</f>
        <v>0</v>
      </c>
      <c r="W49" s="174">
        <f>'[3]4.Služby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'[3]4.Služby občanov'!#REF!</f>
        <v>#REF!</v>
      </c>
      <c r="G51" s="74" t="e">
        <f>'[3]4.Služby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'[3]4.Služby občanov'!#REF!</f>
        <v>#REF!</v>
      </c>
      <c r="L51" s="76" t="e">
        <f>SUM(M51:O51)</f>
        <v>#REF!</v>
      </c>
      <c r="M51" s="73" t="e">
        <f>'[3]4.Služby občanov'!#REF!</f>
        <v>#REF!</v>
      </c>
      <c r="N51" s="73" t="e">
        <f>'[3]4.Služby občanov'!#REF!</f>
        <v>#REF!</v>
      </c>
      <c r="O51" s="75" t="e">
        <f>'[3]4.Služby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'[3]4.Služby občanov'!$H$18</f>
        <v>16737</v>
      </c>
      <c r="V51" s="73">
        <f>'[3]4.Služby občanov'!$I$18</f>
        <v>0</v>
      </c>
      <c r="W51" s="75">
        <f>'[3]4.Služby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'[3]4.Služby občanov'!#REF!</f>
        <v>#REF!</v>
      </c>
      <c r="G52" s="74" t="e">
        <f>'[3]4.Služby občanov'!#REF!</f>
        <v>#REF!</v>
      </c>
      <c r="H52" s="72" t="e">
        <f>SUM(I52:K52)</f>
        <v>#REF!</v>
      </c>
      <c r="I52" s="73" t="e">
        <f>'[3]4.Služby občanov'!#REF!</f>
        <v>#REF!</v>
      </c>
      <c r="J52" s="73">
        <v>0</v>
      </c>
      <c r="K52" s="75" t="e">
        <f>'[3]4.Služby občanov'!#REF!</f>
        <v>#REF!</v>
      </c>
      <c r="L52" s="76" t="e">
        <f>SUM(M52:O52)</f>
        <v>#REF!</v>
      </c>
      <c r="M52" s="73" t="e">
        <f>'[3]4.Služby občanov'!#REF!</f>
        <v>#REF!</v>
      </c>
      <c r="N52" s="73" t="e">
        <f>'[3]4.Služby občanov'!#REF!</f>
        <v>#REF!</v>
      </c>
      <c r="O52" s="75" t="e">
        <f>'[3]4.Služby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'[3]4.Služby občanov'!$H$26</f>
        <v>200</v>
      </c>
      <c r="V52" s="73" t="e">
        <f>'[3]4.Služby občanov'!$I$26</f>
        <v>#REF!</v>
      </c>
      <c r="W52" s="75" t="e">
        <f>'[3]4.Služby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'[3]4.Služby občanov'!#REF!</f>
        <v>#REF!</v>
      </c>
      <c r="F53" s="179" t="e">
        <f>'[3]4.Služby občanov'!#REF!</f>
        <v>#REF!</v>
      </c>
      <c r="G53" s="180" t="e">
        <f>'[3]4.Služby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'[3]4.Služby občanov'!#REF!</f>
        <v>#REF!</v>
      </c>
      <c r="L53" s="187" t="e">
        <f>SUM(M53:O53)</f>
        <v>#REF!</v>
      </c>
      <c r="M53" s="179" t="e">
        <f>'[3]4.Služby občanov'!#REF!</f>
        <v>#REF!</v>
      </c>
      <c r="N53" s="179" t="e">
        <f>'[3]4.Služby občanov'!#REF!</f>
        <v>#REF!</v>
      </c>
      <c r="O53" s="188" t="e">
        <f>'[3]4.Služby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'[3]4.Služby občanov'!$H$28</f>
        <v>10</v>
      </c>
      <c r="V53" s="179" t="e">
        <f>'[3]4.Služby občanov'!$I$28</f>
        <v>#REF!</v>
      </c>
      <c r="W53" s="188" t="e">
        <f>'[3]4.Služby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'[3]5.Bezpečnosť,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'[3]5.Bezpečnosť, právo a por.'!#REF!</f>
        <v>#REF!</v>
      </c>
      <c r="L56" s="76" t="e">
        <f t="shared" ref="L56:L61" si="27">SUM(M56:O56)</f>
        <v>#REF!</v>
      </c>
      <c r="M56" s="73" t="e">
        <f>'[3]5.Bezpečnosť, právo a por.'!#REF!</f>
        <v>#REF!</v>
      </c>
      <c r="N56" s="73" t="e">
        <f>'[3]5.Bezpečnosť, právo a por.'!#REF!</f>
        <v>#REF!</v>
      </c>
      <c r="O56" s="75" t="e">
        <f>'[3]5.Bezpečnosť,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'[3]5.Bezpečnosť, právo a por.'!$H$5</f>
        <v>326718</v>
      </c>
      <c r="V56" s="73">
        <f>'[3]5.Bezpečnosť, právo a por.'!$I$5</f>
        <v>0</v>
      </c>
      <c r="W56" s="75">
        <f>'[3]5.Bezpečnosť,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'[3]5.Bezpečnosť,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'[3]5.Bezpečnosť, právo a por.'!#REF!</f>
        <v>#REF!</v>
      </c>
      <c r="L57" s="76" t="e">
        <f t="shared" si="27"/>
        <v>#REF!</v>
      </c>
      <c r="M57" s="73" t="e">
        <f>'[3]5.Bezpečnosť, právo a por.'!#REF!</f>
        <v>#REF!</v>
      </c>
      <c r="N57" s="73" t="e">
        <f>'[3]5.Bezpečnosť, právo a por.'!#REF!</f>
        <v>#REF!</v>
      </c>
      <c r="O57" s="75" t="e">
        <f>'[3]5.Bezpečnosť,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'[3]5.Bezpečnosť, právo a por.'!$H$49</f>
        <v>67861</v>
      </c>
      <c r="V57" s="73">
        <f>'[3]5.Bezpečnosť, právo a por.'!$I$49</f>
        <v>3050</v>
      </c>
      <c r="W57" s="75">
        <f>'[3]5.Bezpečnosť,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'[3]5.Bezpečnosť,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'[3]5.Bezpečnosť, právo a por.'!#REF!</f>
        <v>#REF!</v>
      </c>
      <c r="L58" s="76" t="e">
        <f t="shared" si="27"/>
        <v>#REF!</v>
      </c>
      <c r="M58" s="73" t="e">
        <f>'[3]5.Bezpečnosť, právo a por.'!#REF!</f>
        <v>#REF!</v>
      </c>
      <c r="N58" s="73" t="e">
        <f>'[3]5.Bezpečnosť, právo a por.'!#REF!</f>
        <v>#REF!</v>
      </c>
      <c r="O58" s="75" t="e">
        <f>'[3]5.Bezpečnosť,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'[3]5.Bezpečnosť, právo a por.'!$H$66</f>
        <v>36887</v>
      </c>
      <c r="V58" s="73">
        <f>'[3]5.Bezpečnosť, právo a por.'!$I$65</f>
        <v>3050</v>
      </c>
      <c r="W58" s="75" t="e">
        <f>'[3]5.Bezpečnosť,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'[3]5.Bezpečnosť, právo a por.'!#REF!</f>
        <v>#REF!</v>
      </c>
      <c r="G59" s="74" t="e">
        <f>'[3]5.Bezpečnosť, právo a por.'!#REF!</f>
        <v>#REF!</v>
      </c>
      <c r="H59" s="72" t="e">
        <f t="shared" si="26"/>
        <v>#REF!</v>
      </c>
      <c r="I59" s="73">
        <v>40098.5</v>
      </c>
      <c r="J59" s="73" t="e">
        <f>'[3]5.Bezpečnosť, právo a por.'!#REF!</f>
        <v>#REF!</v>
      </c>
      <c r="K59" s="75" t="e">
        <f>'[3]5.Bezpečnosť, právo a por.'!#REF!</f>
        <v>#REF!</v>
      </c>
      <c r="L59" s="76" t="e">
        <f t="shared" si="27"/>
        <v>#REF!</v>
      </c>
      <c r="M59" s="73" t="e">
        <f>'[3]5.Bezpečnosť, právo a por.'!#REF!</f>
        <v>#REF!</v>
      </c>
      <c r="N59" s="73" t="e">
        <f>'[3]5.Bezpečnosť, právo a por.'!#REF!</f>
        <v>#REF!</v>
      </c>
      <c r="O59" s="75" t="e">
        <f>'[3]5.Bezpečnosť,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'[3]5.Bezpečnosť, právo a por.'!$H$69</f>
        <v>37517</v>
      </c>
      <c r="V59" s="73">
        <f>'[3]5.Bezpečnosť, právo a por.'!$I$69</f>
        <v>0</v>
      </c>
      <c r="W59" s="75" t="e">
        <f>'[3]5.Bezpečnosť,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'[3]5.Bezpečnosť, právo a por.'!#REF!</f>
        <v>#REF!</v>
      </c>
      <c r="F60" s="172" t="e">
        <f>'[3]5.Bezpečnosť, právo a por.'!#REF!</f>
        <v>#REF!</v>
      </c>
      <c r="G60" s="173" t="e">
        <f>'[3]5.Bezpečnosť,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'[3]5.Bezpečnosť, právo a por.'!#REF!</f>
        <v>#REF!</v>
      </c>
      <c r="L60" s="175" t="e">
        <f t="shared" si="27"/>
        <v>#REF!</v>
      </c>
      <c r="M60" s="172" t="e">
        <f>'[3]5.Bezpečnosť, právo a por.'!#REF!</f>
        <v>#REF!</v>
      </c>
      <c r="N60" s="172" t="e">
        <f>'[3]5.Bezpečnosť, právo a por.'!#REF!</f>
        <v>#REF!</v>
      </c>
      <c r="O60" s="174" t="e">
        <f>'[3]5.Bezpečnosť,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'[3]5.Bezpečnosť, právo a por.'!$H$77</f>
        <v>0</v>
      </c>
      <c r="V60" s="172"/>
      <c r="W60" s="174" t="e">
        <f>'[3]5.Bezpečnosť,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'[3]5.Bezpečnosť, právo a por.'!#REF!</f>
        <v>#REF!</v>
      </c>
      <c r="G61" s="173" t="e">
        <f>'[3]5.Bezpečnosť,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'[3]5.Bezpečnosť, právo a por.'!#REF!</f>
        <v>#REF!</v>
      </c>
      <c r="L61" s="175" t="e">
        <f t="shared" si="27"/>
        <v>#REF!</v>
      </c>
      <c r="M61" s="172" t="e">
        <f>'[3]5.Bezpečnosť, právo a por.'!#REF!</f>
        <v>#REF!</v>
      </c>
      <c r="N61" s="172" t="e">
        <f>'[3]5.Bezpečnosť, právo a por.'!#REF!</f>
        <v>#REF!</v>
      </c>
      <c r="O61" s="174" t="e">
        <f>'[3]5.Bezpečnosť,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'[3]5.Bezpečnosť, právo a por.'!$H$79</f>
        <v>1650</v>
      </c>
      <c r="V61" s="172" t="e">
        <f>'[3]5.Bezpečnosť, právo a por.'!$I$78</f>
        <v>#REF!</v>
      </c>
      <c r="W61" s="174" t="e">
        <f>'[3]5.Bezpečnosť,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'[3]5.Bezpečnosť, právo a por.'!#REF!</f>
        <v>#REF!</v>
      </c>
      <c r="G63" s="74" t="e">
        <f>'[3]5.Bezpečnosť,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'[3]5.Bezpečnosť, právo a por.'!#REF!</f>
        <v>#REF!</v>
      </c>
      <c r="L63" s="76" t="e">
        <f>SUM(M63:O63)</f>
        <v>#REF!</v>
      </c>
      <c r="M63" s="73" t="e">
        <f>'[3]5.Bezpečnosť, právo a por.'!#REF!</f>
        <v>#REF!</v>
      </c>
      <c r="N63" s="73" t="e">
        <f>'[3]5.Bezpečnosť, právo a por.'!#REF!</f>
        <v>#REF!</v>
      </c>
      <c r="O63" s="75" t="e">
        <f>'[3]5.Bezpečnosť,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'[3]5.Bezpečnosť, právo a por.'!$H$95</f>
        <v>187042</v>
      </c>
      <c r="V63" s="73">
        <f>'[3]5.Bezpečnosť, právo a por.'!$I$94</f>
        <v>64679</v>
      </c>
      <c r="W63" s="75">
        <f>'[3]5.Bezpečnosť,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'[3]5.Bezpečnosť, právo a por.'!#REF!</f>
        <v>#REF!</v>
      </c>
      <c r="G64" s="74" t="e">
        <f>'[3]5.Bezpečnosť,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'[3]5.Bezpečnosť, právo a por.'!#REF!</f>
        <v>#REF!</v>
      </c>
      <c r="L64" s="76" t="e">
        <f>SUM(M64:O64)</f>
        <v>#REF!</v>
      </c>
      <c r="M64" s="73">
        <v>42145</v>
      </c>
      <c r="N64" s="73" t="e">
        <f>'[3]5.Bezpečnosť, právo a por.'!#REF!</f>
        <v>#REF!</v>
      </c>
      <c r="O64" s="75" t="e">
        <f>'[3]5.Bezpečnosť,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'[3]5.Bezpečnosť, právo a por.'!$H$101</f>
        <v>74900</v>
      </c>
      <c r="V64" s="73"/>
      <c r="W64" s="75" t="e">
        <f>'[3]5.Bezpečnosť,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'[3]5.Bezpečnosť, právo a por.'!#REF!</f>
        <v>#REF!</v>
      </c>
      <c r="G65" s="74" t="e">
        <f>'[3]5.Bezpečnosť,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'[3]5.Bezpečnosť, právo a por.'!#REF!</f>
        <v>#REF!</v>
      </c>
      <c r="L65" s="76" t="e">
        <f>SUM(M65:O65)</f>
        <v>#REF!</v>
      </c>
      <c r="M65" s="73" t="e">
        <f>'[3]5.Bezpečnosť, právo a por.'!#REF!</f>
        <v>#REF!</v>
      </c>
      <c r="N65" s="73" t="e">
        <f>'[3]5.Bezpečnosť, právo a por.'!#REF!</f>
        <v>#REF!</v>
      </c>
      <c r="O65" s="75" t="e">
        <f>'[3]5.Bezpečnosť,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'[3]5.Bezpečnosť, právo a por.'!$H$103</f>
        <v>#REF!</v>
      </c>
      <c r="V65" s="73">
        <f>'[3]5.Bezpečnosť, právo a por.'!$I$102</f>
        <v>0</v>
      </c>
      <c r="W65" s="75">
        <f>'[3]5.Bezpečnosť,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'[3]5.Bezpečnosť, právo a por.'!#REF!</f>
        <v>#REF!</v>
      </c>
      <c r="G66" s="74" t="e">
        <f>'[3]5.Bezpečnosť,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'[3]5.Bezpečnosť, právo a por.'!#REF!</f>
        <v>#REF!</v>
      </c>
      <c r="L66" s="76" t="e">
        <f>SUM(M66:O66)</f>
        <v>#REF!</v>
      </c>
      <c r="M66" s="73">
        <v>0</v>
      </c>
      <c r="N66" s="73" t="e">
        <f>'[3]5.Bezpečnosť, právo a por.'!#REF!</f>
        <v>#REF!</v>
      </c>
      <c r="O66" s="75" t="e">
        <f>'[3]5.Bezpečnosť,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'[3]5.Bezpečnosť, právo a por.'!$H$106</f>
        <v>#REF!</v>
      </c>
      <c r="V66" s="73">
        <f>'[3]5.Bezpečnosť, právo a por.'!$I$105</f>
        <v>0</v>
      </c>
      <c r="W66" s="75">
        <f>'[3]5.Bezpečnosť,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'[3]5.Bezpečnosť, právo a por.'!#REF!</f>
        <v>#REF!</v>
      </c>
      <c r="G68" s="74" t="e">
        <f>'[3]5.Bezpečnosť, právo a por.'!#REF!</f>
        <v>#REF!</v>
      </c>
      <c r="H68" s="72" t="e">
        <f>SUM(I68:K68)</f>
        <v>#REF!</v>
      </c>
      <c r="I68" s="73" t="e">
        <f>'[3]5.Bezpečnosť, právo a por.'!#REF!</f>
        <v>#REF!</v>
      </c>
      <c r="J68" s="73">
        <v>0</v>
      </c>
      <c r="K68" s="75" t="e">
        <f>'[3]5.Bezpečnosť, právo a por.'!#REF!</f>
        <v>#REF!</v>
      </c>
      <c r="L68" s="76" t="e">
        <f>SUM(M68:O68)</f>
        <v>#REF!</v>
      </c>
      <c r="M68" s="73" t="e">
        <f>'[3]5.Bezpečnosť, právo a por.'!#REF!</f>
        <v>#REF!</v>
      </c>
      <c r="N68" s="73" t="e">
        <f>'[3]5.Bezpečnosť, právo a por.'!#REF!</f>
        <v>#REF!</v>
      </c>
      <c r="O68" s="75" t="e">
        <f>'[3]5.Bezpečnosť,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'[3]5.Bezpečnosť, právo a por.'!$H$110</f>
        <v>1300</v>
      </c>
      <c r="V68" s="73">
        <f>'[3]5.Bezpečnosť, právo a por.'!$I$109</f>
        <v>0</v>
      </c>
      <c r="W68" s="75">
        <f>'[3]5.Bezpečnosť,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'[3]5.Bezpečnosť, právo a por.'!#REF!</f>
        <v>#REF!</v>
      </c>
      <c r="G69" s="81" t="e">
        <f>'[3]5.Bezpečnosť,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'[3]5.Bezpečnosť, právo a por.'!#REF!</f>
        <v>#REF!</v>
      </c>
      <c r="L69" s="89" t="e">
        <f>SUM(M69:O69)</f>
        <v>#REF!</v>
      </c>
      <c r="M69" s="80" t="e">
        <f>'[3]5.Bezpečnosť, právo a por.'!#REF!</f>
        <v>#REF!</v>
      </c>
      <c r="N69" s="80" t="e">
        <f>'[3]5.Bezpečnosť, právo a por.'!#REF!</f>
        <v>#REF!</v>
      </c>
      <c r="O69" s="90" t="e">
        <f>'[3]5.Bezpečnosť,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'[3]5.Bezpečnosť, právo a por.'!$H$112</f>
        <v>#REF!</v>
      </c>
      <c r="V69" s="80">
        <f>'[3]5.Bezpečnosť, právo a por.'!$I$111</f>
        <v>0</v>
      </c>
      <c r="W69" s="90">
        <f>'[3]5.Bezpečnosť,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'[3]6.Odpadové hospodárstvo'!#REF!</f>
        <v>#REF!</v>
      </c>
      <c r="G72" s="74" t="e">
        <f>'[3]6.Odpadové hospodárstvo'!#REF!</f>
        <v>#REF!</v>
      </c>
      <c r="H72" s="72" t="e">
        <f>SUM(I72:K72)</f>
        <v>#REF!</v>
      </c>
      <c r="I72" s="73">
        <v>265</v>
      </c>
      <c r="J72" s="73" t="e">
        <f>'[3]6.Odpadové hospodárstvo'!#REF!</f>
        <v>#REF!</v>
      </c>
      <c r="K72" s="75" t="e">
        <f>'[3]6.Odpadové hospodárstvo'!#REF!</f>
        <v>#REF!</v>
      </c>
      <c r="L72" s="76" t="e">
        <f>SUM(M72:O72)</f>
        <v>#REF!</v>
      </c>
      <c r="M72" s="73" t="e">
        <f>'[3]6.Odpadové hospodárstvo'!#REF!</f>
        <v>#REF!</v>
      </c>
      <c r="N72" s="73" t="e">
        <f>'[3]6.Odpadové hospodárstvo'!#REF!</f>
        <v>#REF!</v>
      </c>
      <c r="O72" s="75" t="e">
        <f>'[3]6.Odpadové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'[3]6.Odpadové hospodárstvo'!$H$5</f>
        <v>850</v>
      </c>
      <c r="V72" s="73">
        <f>'[3]6.Odpadové hospodárstvo'!$I$5</f>
        <v>5200</v>
      </c>
      <c r="W72" s="75">
        <f>'[3]6.Odpadové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'[3]6.Odpadové hospodárstvo'!#REF!</f>
        <v>#REF!</v>
      </c>
      <c r="G73" s="74" t="e">
        <f>'[3]6.Odpadové hospodárstvo'!#REF!</f>
        <v>#REF!</v>
      </c>
      <c r="H73" s="72" t="e">
        <f>SUM(I73:K73)</f>
        <v>#REF!</v>
      </c>
      <c r="I73" s="73">
        <v>514242</v>
      </c>
      <c r="J73" s="73" t="e">
        <f>'[3]6.Odpadové hospodárstvo'!#REF!</f>
        <v>#REF!</v>
      </c>
      <c r="K73" s="75" t="e">
        <f>'[3]6.Odpadové hospodárstvo'!#REF!</f>
        <v>#REF!</v>
      </c>
      <c r="L73" s="76" t="e">
        <f>SUM(M73:O73)</f>
        <v>#REF!</v>
      </c>
      <c r="M73" s="73" t="e">
        <f>'[3]6.Odpadové hospodárstvo'!#REF!</f>
        <v>#REF!</v>
      </c>
      <c r="N73" s="73" t="e">
        <f>'[3]6.Odpadové hospodárstvo'!#REF!</f>
        <v>#REF!</v>
      </c>
      <c r="O73" s="75" t="e">
        <f>'[3]6.Odpadové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'[3]6.Odpadové hospodárstvo'!$H$10</f>
        <v>558000</v>
      </c>
      <c r="V73" s="73">
        <f>'[3]6.Odpadové hospodárstvo'!$I$10</f>
        <v>0</v>
      </c>
      <c r="W73" s="75">
        <f>'[3]6.Odpadové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'[3]6.Odpadové hospodárstvo'!#REF!</f>
        <v>#REF!</v>
      </c>
      <c r="G75" s="74" t="e">
        <f>'[3]6.Odpadové hospodárstvo'!#REF!</f>
        <v>#REF!</v>
      </c>
      <c r="H75" s="72" t="e">
        <f>SUM(I75:K75)</f>
        <v>#REF!</v>
      </c>
      <c r="I75" s="73">
        <v>68842</v>
      </c>
      <c r="J75" s="73" t="e">
        <f>'[3]6.Odpadové hospodárstvo'!#REF!</f>
        <v>#REF!</v>
      </c>
      <c r="K75" s="75" t="e">
        <f>'[3]6.Odpadové hospodárstvo'!#REF!</f>
        <v>#REF!</v>
      </c>
      <c r="L75" s="76" t="e">
        <f>SUM(M75:O75)</f>
        <v>#REF!</v>
      </c>
      <c r="M75" s="73" t="e">
        <f>'[3]6.Odpadové hospodárstvo'!#REF!</f>
        <v>#REF!</v>
      </c>
      <c r="N75" s="73" t="e">
        <f>'[3]6.Odpadové hospodárstvo'!#REF!</f>
        <v>#REF!</v>
      </c>
      <c r="O75" s="75" t="e">
        <f>'[3]6.Odpadové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'[3]6.Odpadové hospodárstvo'!$H$15</f>
        <v>86950</v>
      </c>
      <c r="V75" s="73">
        <f>'[3]6.Odpadové hospodárstvo'!$I$15</f>
        <v>0</v>
      </c>
      <c r="W75" s="75">
        <f>'[3]6.Odpadové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'[3]6.Odpadové hospodárstvo'!#REF!</f>
        <v>#REF!</v>
      </c>
      <c r="G76" s="74" t="e">
        <f>'[3]6.Odpadové hospodárstvo'!#REF!</f>
        <v>#REF!</v>
      </c>
      <c r="H76" s="72" t="e">
        <f>SUM(I76:K76)</f>
        <v>#REF!</v>
      </c>
      <c r="I76" s="73">
        <v>9921</v>
      </c>
      <c r="J76" s="73" t="e">
        <f>'[3]6.Odpadové hospodárstvo'!#REF!</f>
        <v>#REF!</v>
      </c>
      <c r="K76" s="75" t="e">
        <f>'[3]6.Odpadové hospodárstvo'!#REF!</f>
        <v>#REF!</v>
      </c>
      <c r="L76" s="76" t="e">
        <f>SUM(M76:O76)</f>
        <v>#REF!</v>
      </c>
      <c r="M76" s="73" t="e">
        <f>'[3]6.Odpadové hospodárstvo'!#REF!</f>
        <v>#REF!</v>
      </c>
      <c r="N76" s="73" t="e">
        <f>'[3]6.Odpadové hospodárstvo'!#REF!</f>
        <v>#REF!</v>
      </c>
      <c r="O76" s="75" t="e">
        <f>'[3]6.Odpadové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'[3]6.Odpadové hospodárstvo'!$H$18</f>
        <v>13700</v>
      </c>
      <c r="V76" s="73">
        <f>'[3]6.Odpadové hospodárstvo'!$I$18</f>
        <v>0</v>
      </c>
      <c r="W76" s="75">
        <f>'[3]6.Odpadové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'[3]6.Odpadové hospodárstvo'!#REF!</f>
        <v>#REF!</v>
      </c>
      <c r="H77" s="186" t="e">
        <f>SUM(I77:K77)</f>
        <v>#REF!</v>
      </c>
      <c r="I77" s="181">
        <v>73327</v>
      </c>
      <c r="J77" s="181" t="e">
        <f>'[3]6.Odpadové hospodárstvo'!#REF!</f>
        <v>#REF!</v>
      </c>
      <c r="K77" s="182" t="e">
        <f>'[3]6.Odpadové hospodárstvo'!#REF!</f>
        <v>#REF!</v>
      </c>
      <c r="L77" s="187" t="e">
        <f>SUM(M77:O77)</f>
        <v>#REF!</v>
      </c>
      <c r="M77" s="179" t="e">
        <f>'[3]6.Odpadové hospodárstvo'!#REF!</f>
        <v>#REF!</v>
      </c>
      <c r="N77" s="179" t="e">
        <f>'[3]6.Odpadové hospodárstvo'!#REF!</f>
        <v>#REF!</v>
      </c>
      <c r="O77" s="188" t="e">
        <f>'[3]6.Odpadové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'[3]6.Odpadové hospodárstvo'!$H$20</f>
        <v>84350</v>
      </c>
      <c r="V77" s="179">
        <f>'[3]6.Odpadové hospodárstvo'!$I$20</f>
        <v>0</v>
      </c>
      <c r="W77" s="188">
        <f>'[3]6.Odpadové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'[3]7.Komunikácie'!#REF!</f>
        <v>#REF!</v>
      </c>
      <c r="F80" s="73" t="e">
        <f>'[3]7.Komunikácie'!#REF!</f>
        <v>#REF!</v>
      </c>
      <c r="G80" s="74" t="e">
        <f>'[3]7.Komunikácie'!#REF!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'[3]7.Komunikácie'!#REF!</f>
        <v>#REF!</v>
      </c>
      <c r="N80" s="73" t="e">
        <f>'[3]7.Komunikácie'!#REF!</f>
        <v>#REF!</v>
      </c>
      <c r="O80" s="75" t="e">
        <f>'[3]7.Komunikácie'!#REF!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'[3]7.Komunikácie'!$H$5</f>
        <v>0</v>
      </c>
      <c r="V80" s="73">
        <f>'[3]7.Komunikácie'!$I$5</f>
        <v>0</v>
      </c>
      <c r="W80" s="75">
        <f>'[3]7.Komunikácie'!$J$5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'[3]7.Komunikácie'!#REF!</f>
        <v>#REF!</v>
      </c>
      <c r="N81" s="73" t="e">
        <f>'[3]7.Komunikácie'!#REF!</f>
        <v>#REF!</v>
      </c>
      <c r="O81" s="75" t="e">
        <f>'[3]7.Komunikácie'!#REF!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'[3]7.Komunikácie'!$H$7</f>
        <v>91205</v>
      </c>
      <c r="V81" s="73">
        <f>'[3]7.Komunikácie'!$I$7</f>
        <v>8850</v>
      </c>
      <c r="W81" s="75">
        <f>'[3]7.Komunikácie'!$J$7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'[3]7.Komunikácie'!#REF!</f>
        <v>#REF!</v>
      </c>
      <c r="G82" s="74" t="e">
        <f>'[3]7.Komunikácie'!#REF!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'[3]7.Komunikácie'!#REF!</f>
        <v>#REF!</v>
      </c>
      <c r="N82" s="73" t="e">
        <f>'[3]7.Komunikácie'!#REF!</f>
        <v>#REF!</v>
      </c>
      <c r="O82" s="75" t="e">
        <f>'[3]7.Komunikácie'!#REF!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'[3]7.Komunikácie'!$H$21</f>
        <v>79000</v>
      </c>
      <c r="V82" s="73">
        <f>'[3]7.Komunikácie'!$I$21</f>
        <v>0</v>
      </c>
      <c r="W82" s="75">
        <f>'[3]7.Komunikácie'!$J$21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'[3]7.Komunikácie'!#REF!</f>
        <v>#REF!</v>
      </c>
      <c r="G83" s="74" t="e">
        <f>'[3]7.Komunikácie'!#REF!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'[3]7.Komunikácie'!#REF!</f>
        <v>#REF!</v>
      </c>
      <c r="N83" s="73" t="e">
        <f>'[3]7.Komunikácie'!#REF!</f>
        <v>#REF!</v>
      </c>
      <c r="O83" s="75" t="e">
        <f>'[3]7.Komunikácie'!#REF!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'[3]7.Komunikácie'!$H$24</f>
        <v>82000</v>
      </c>
      <c r="V83" s="73">
        <f>'[3]7.Komunikácie'!$I$24</f>
        <v>0</v>
      </c>
      <c r="W83" s="75">
        <f>'[3]7.Komunikácie'!$J$24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'[3]7.Komunikácie'!#REF!</f>
        <v>#REF!</v>
      </c>
      <c r="G84" s="74" t="e">
        <f>'[3]7.Komunikácie'!#REF!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'[3]7.Komunikácie'!#REF!</f>
        <v>#REF!</v>
      </c>
      <c r="N84" s="73" t="e">
        <f>'[3]7.Komunikácie'!#REF!</f>
        <v>#REF!</v>
      </c>
      <c r="O84" s="75" t="e">
        <f>'[3]7.Komunikácie'!#REF!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'[3]7.Komunikácie'!$H$27</f>
        <v>96150</v>
      </c>
      <c r="V84" s="73">
        <f>'[3]7.Komunikácie'!$I$27</f>
        <v>0</v>
      </c>
      <c r="W84" s="75">
        <f>'[3]7.Komunikácie'!$J$27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'[3]7.Komunikácie'!#REF!</f>
        <v>#REF!</v>
      </c>
      <c r="G85" s="74" t="e">
        <f>'[3]7.Komunikácie'!#REF!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'[3]7.Komunikácie'!#REF!</f>
        <v>#REF!</v>
      </c>
      <c r="O85" s="75" t="e">
        <f>'[3]7.Komunikácie'!#REF!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'[3]7.Komunikácie'!$H$31</f>
        <v>10350</v>
      </c>
      <c r="V85" s="73">
        <f>'[3]7.Komunikácie'!$I$31</f>
        <v>0</v>
      </c>
      <c r="W85" s="75">
        <f>'[3]7.Komunikácie'!$J$31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'[3]7.Komunikácie'!#REF!</f>
        <v>#REF!</v>
      </c>
      <c r="G86" s="74" t="e">
        <f>'[3]7.Komunikácie'!#REF!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'[3]7.Komunikácie'!#REF!</f>
        <v>#REF!</v>
      </c>
      <c r="O86" s="75" t="e">
        <f>'[3]7.Komunikácie'!#REF!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'[3]7.Komunikácie'!$H$35</f>
        <v>10000</v>
      </c>
      <c r="V86" s="73">
        <f>'[3]7.Komunikácie'!$I$35</f>
        <v>0</v>
      </c>
      <c r="W86" s="75">
        <f>'[3]7.Komunikácie'!$J$35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'[3]7.Komunikácie'!#REF!</f>
        <v>#REF!</v>
      </c>
      <c r="F88" s="73">
        <v>68101</v>
      </c>
      <c r="G88" s="74" t="e">
        <f>'[3]7.Komunikácie'!#REF!</f>
        <v>#REF!</v>
      </c>
      <c r="H88" s="72" t="e">
        <f>SUM(I88:K88)</f>
        <v>#REF!</v>
      </c>
      <c r="I88" s="73" t="e">
        <f>'[3]7.Komunikácie'!#REF!</f>
        <v>#REF!</v>
      </c>
      <c r="J88" s="73" t="e">
        <f>'[3]7.Komunikácie'!#REF!</f>
        <v>#REF!</v>
      </c>
      <c r="K88" s="75" t="e">
        <f>'[3]7.Komunikácie'!#REF!</f>
        <v>#REF!</v>
      </c>
      <c r="L88" s="76" t="e">
        <f>SUM(M88:O88)</f>
        <v>#REF!</v>
      </c>
      <c r="M88" s="73" t="e">
        <f>'[3]7.Komunikácie'!#REF!</f>
        <v>#REF!</v>
      </c>
      <c r="N88" s="73" t="e">
        <f>'[3]7.Komunikácie'!#REF!</f>
        <v>#REF!</v>
      </c>
      <c r="O88" s="75" t="e">
        <f>'[3]7.Komunikácie'!#REF!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'[3]7.Komunikácie'!$H$39</f>
        <v>0</v>
      </c>
      <c r="V88" s="73">
        <f>'[3]7.Komunikácie'!$I$39</f>
        <v>120000</v>
      </c>
      <c r="W88" s="75">
        <f>'[3]7.Komunikácie'!$J$39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'[3]7.Komunikácie'!#REF!</f>
        <v>#REF!</v>
      </c>
      <c r="G89" s="74" t="e">
        <f>'[3]7.Komunikácie'!#REF!</f>
        <v>#REF!</v>
      </c>
      <c r="H89" s="72" t="e">
        <f>SUM(I89:K89)</f>
        <v>#REF!</v>
      </c>
      <c r="I89" s="73" t="e">
        <f>'[3]7.Komunikácie'!#REF!</f>
        <v>#REF!</v>
      </c>
      <c r="J89" s="73" t="e">
        <f>'[3]7.Komunikácie'!#REF!</f>
        <v>#REF!</v>
      </c>
      <c r="K89" s="75" t="e">
        <f>'[3]7.Komunikácie'!#REF!</f>
        <v>#REF!</v>
      </c>
      <c r="L89" s="76" t="e">
        <f>SUM(M89:O89)</f>
        <v>#REF!</v>
      </c>
      <c r="M89" s="73">
        <v>8150</v>
      </c>
      <c r="N89" s="73" t="e">
        <f>'[3]7.Komunikácie'!#REF!</f>
        <v>#REF!</v>
      </c>
      <c r="O89" s="75" t="e">
        <f>'[3]7.Komunikácie'!#REF!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'[3]7.Komunikácie'!$H$41</f>
        <v>9000</v>
      </c>
      <c r="V89" s="73">
        <f>'[3]7.Komunikácie'!$I$41</f>
        <v>0</v>
      </c>
      <c r="W89" s="75">
        <f>'[3]7.Komunikácie'!$J$41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'[3]7.Komunikácie'!#REF!</f>
        <v>#REF!</v>
      </c>
      <c r="F91" s="73" t="e">
        <f>'[3]7.Komunikácie'!#REF!</f>
        <v>#REF!</v>
      </c>
      <c r="G91" s="74" t="e">
        <f>'[3]7.Komunikácie'!#REF!</f>
        <v>#REF!</v>
      </c>
      <c r="H91" s="72" t="e">
        <f>SUM(I91:K91)</f>
        <v>#REF!</v>
      </c>
      <c r="I91" s="73" t="e">
        <f>'[3]7.Komunikácie'!#REF!</f>
        <v>#REF!</v>
      </c>
      <c r="J91" s="73" t="e">
        <f>'[3]7.Komunikácie'!#REF!</f>
        <v>#REF!</v>
      </c>
      <c r="K91" s="75" t="e">
        <f>'[3]7.Komunikácie'!#REF!</f>
        <v>#REF!</v>
      </c>
      <c r="L91" s="76" t="e">
        <f>SUM(M91:O91)</f>
        <v>#REF!</v>
      </c>
      <c r="M91" s="73" t="e">
        <f>'[3]7.Komunikácie'!#REF!</f>
        <v>#REF!</v>
      </c>
      <c r="N91" s="73" t="e">
        <f>'[3]7.Komunikácie'!#REF!</f>
        <v>#REF!</v>
      </c>
      <c r="O91" s="75" t="e">
        <f>'[3]7.Komunikácie'!#REF!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'[3]7.Komunikácie'!$H$44</f>
        <v>0</v>
      </c>
      <c r="V91" s="73">
        <f>'[3]7.Komunikácie'!$I$44</f>
        <v>0</v>
      </c>
      <c r="W91" s="75">
        <f>'[3]7.Komunikácie'!$J$44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'[3]7.Komunikácie'!#REF!</f>
        <v>#REF!</v>
      </c>
      <c r="G92" s="81" t="e">
        <f>'[3]7.Komunikácie'!#REF!</f>
        <v>#REF!</v>
      </c>
      <c r="H92" s="88" t="e">
        <f>SUM(I92:K92)</f>
        <v>#REF!</v>
      </c>
      <c r="I92" s="82" t="e">
        <f>'[3]7.Komunikácie'!#REF!</f>
        <v>#REF!</v>
      </c>
      <c r="J92" s="82" t="e">
        <f>'[3]7.Komunikácie'!#REF!</f>
        <v>#REF!</v>
      </c>
      <c r="K92" s="83" t="e">
        <f>'[3]7.Komunikácie'!#REF!</f>
        <v>#REF!</v>
      </c>
      <c r="L92" s="89" t="e">
        <f>SUM(M92:O92)</f>
        <v>#REF!</v>
      </c>
      <c r="M92" s="80" t="e">
        <f>'[3]7.Komunikácie'!#REF!</f>
        <v>#REF!</v>
      </c>
      <c r="N92" s="80" t="e">
        <f>'[3]7.Komunikácie'!#REF!</f>
        <v>#REF!</v>
      </c>
      <c r="O92" s="90" t="e">
        <f>'[3]7.Komunikácie'!#REF!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'[3]7.Komunikácie'!$H$47</f>
        <v>0</v>
      </c>
      <c r="V92" s="80">
        <f>'[3]7.Komunikácie'!$I$47</f>
        <v>0</v>
      </c>
      <c r="W92" s="90">
        <f>'[3]7.Komunikácie'!$J$47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'[3]8.Doprava'!#REF!</f>
        <v>#REF!</v>
      </c>
      <c r="G94" s="173" t="e">
        <f>'[3]8.Doprava'!#REF!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'[3]8.Doprava'!#REF!</f>
        <v>#REF!</v>
      </c>
      <c r="N94" s="172" t="e">
        <f>'[3]8.Doprava'!#REF!</f>
        <v>#REF!</v>
      </c>
      <c r="O94" s="174" t="e">
        <f>'[3]8.Doprava'!#REF!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'[3]8.Doprava'!$H$4</f>
        <v>71000</v>
      </c>
      <c r="V94" s="172">
        <f>'[3]8.Doprava'!$I$4</f>
        <v>0</v>
      </c>
      <c r="W94" s="174">
        <f>'[3]8.Doprava'!$J$4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'[3]8.Doprava'!#REF!</f>
        <v>#REF!</v>
      </c>
      <c r="G96" s="81" t="e">
        <f>'[3]8.Doprava'!#REF!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'[3]8.Doprava'!#REF!</f>
        <v>#REF!</v>
      </c>
      <c r="N96" s="80" t="e">
        <f>'[3]8.Doprava'!#REF!</f>
        <v>#REF!</v>
      </c>
      <c r="O96" s="90" t="e">
        <f>'[3]8.Doprava'!#REF!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'[3]8.Doprava'!$H$7</f>
        <v>2850</v>
      </c>
      <c r="V96" s="80">
        <f>'[3]8.Doprava'!$I$7</f>
        <v>0</v>
      </c>
      <c r="W96" s="90">
        <f>'[3]8.Doprava'!$J$7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'[3]9. Vzdelávanie'!#REF!</f>
        <v>#REF!</v>
      </c>
      <c r="G98" s="173" t="e">
        <f>'[3]9.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'[3]9. Vzdelávanie'!#REF!</f>
        <v>#REF!</v>
      </c>
      <c r="N98" s="172" t="e">
        <f>'[3]9. Vzdelávanie'!#REF!</f>
        <v>#REF!</v>
      </c>
      <c r="O98" s="174" t="e">
        <f>'[3]9.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'[3]9. Vzdelávanie'!$H$4</f>
        <v>4292</v>
      </c>
      <c r="V98" s="172">
        <f>'[3]9. Vzdelávanie'!$I$4</f>
        <v>0</v>
      </c>
      <c r="W98" s="174">
        <f>'[3]9.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'[3]9. Vzdelávanie'!#REF!</f>
        <v>#REF!</v>
      </c>
      <c r="G100" s="74" t="e">
        <f>'[3]9.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'[3]9. Vzdelávanie'!#REF!</f>
        <v>#REF!</v>
      </c>
      <c r="N100" s="73" t="e">
        <f>'[3]9. Vzdelávanie'!#REF!</f>
        <v>#REF!</v>
      </c>
      <c r="O100" s="75" t="e">
        <f>'[3]9.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'[2]9. Vzdelávanie'!$Q$9</f>
        <v>1431</v>
      </c>
      <c r="V100" s="73" t="e">
        <f>'[3]9. Vzdelávanie'!$I$33</f>
        <v>#REF!</v>
      </c>
      <c r="W100" s="75" t="e">
        <f>'[3]9.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'[3]9. Vzdelávanie'!#REF!</f>
        <v>#REF!</v>
      </c>
      <c r="G101" s="74" t="e">
        <f>'[3]9.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'[3]9. Vzdelávanie'!#REF!</f>
        <v>#REF!</v>
      </c>
      <c r="N101" s="73" t="e">
        <f>'[3]9. Vzdelávanie'!#REF!</f>
        <v>#REF!</v>
      </c>
      <c r="O101" s="75" t="e">
        <f>'[3]9.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'[2]9. Vzdelávanie'!$Q$18</f>
        <v>1479615</v>
      </c>
      <c r="V101" s="73" t="e">
        <f>'[3]9. Vzdelávanie'!$I$34</f>
        <v>#REF!</v>
      </c>
      <c r="W101" s="75" t="e">
        <f>'[3]9.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'[3]9.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'[3]9. Vzdelávanie'!#REF!</f>
        <v>#REF!</v>
      </c>
      <c r="N102" s="73" t="e">
        <f>'[3]9. Vzdelávanie'!#REF!</f>
        <v>#REF!</v>
      </c>
      <c r="O102" s="75" t="e">
        <f>'[3]9.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'[2]9. Vzdelávanie'!$Q$19</f>
        <v>147030</v>
      </c>
      <c r="V102" s="73">
        <f>'[3]9. Vzdelávanie'!$I$35</f>
        <v>0</v>
      </c>
      <c r="W102" s="75">
        <f>'[3]9.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'[3]9. Vzdelávanie'!#REF!</f>
        <v>#REF!</v>
      </c>
      <c r="F103" s="73" t="e">
        <f>'[3]9. Vzdelávanie'!#REF!</f>
        <v>#REF!</v>
      </c>
      <c r="G103" s="74" t="e">
        <f>'[3]9.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'[3]9. Vzdelávanie'!#REF!</f>
        <v>#REF!</v>
      </c>
      <c r="N103" s="73" t="e">
        <f>'[3]9. Vzdelávanie'!#REF!</f>
        <v>#REF!</v>
      </c>
      <c r="O103" s="75" t="e">
        <f>'[3]9.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'[3]9. Vzdelávanie'!$H$38</f>
        <v>0</v>
      </c>
      <c r="V103" s="73">
        <f>'[3]9. Vzdelávanie'!$I$38</f>
        <v>0</v>
      </c>
      <c r="W103" s="75" t="e">
        <f>'[3]9.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'[3]9. Vzdelávanie'!#REF!</f>
        <v>#REF!</v>
      </c>
      <c r="G104" s="74" t="e">
        <f>'[3]9.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'[3]9. Vzdelávanie'!#REF!</f>
        <v>#REF!</v>
      </c>
      <c r="N104" s="73" t="e">
        <f>'[3]9. Vzdelávanie'!#REF!</f>
        <v>#REF!</v>
      </c>
      <c r="O104" s="75" t="e">
        <f>'[3]9.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'[2]9. Vzdelávanie'!#REF!</f>
        <v>#REF!</v>
      </c>
      <c r="V104" s="73" t="e">
        <f>'[3]9. Vzdelávanie'!$I$39</f>
        <v>#REF!</v>
      </c>
      <c r="W104" s="75" t="e">
        <f>'[3]9.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'[3]9.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'[3]9. Vzdelávanie'!#REF!</f>
        <v>#REF!</v>
      </c>
      <c r="N105" s="73" t="e">
        <f>'[3]9. Vzdelávanie'!#REF!</f>
        <v>#REF!</v>
      </c>
      <c r="O105" s="75" t="e">
        <f>'[3]9.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'[2]9. Vzdelávanie'!$Q$22</f>
        <v>84028</v>
      </c>
      <c r="V105" s="73">
        <f>'[3]9. Vzdelávanie'!$I$40</f>
        <v>0</v>
      </c>
      <c r="W105" s="75">
        <f>'[3]9.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'[3]9.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'[3]9. Vzdelávanie'!#REF!</f>
        <v>#REF!</v>
      </c>
      <c r="N106" s="73" t="e">
        <f>'[3]9. Vzdelávanie'!#REF!</f>
        <v>#REF!</v>
      </c>
      <c r="O106" s="75" t="e">
        <f>'[3]9.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'[2]9. Vzdelávanie'!#REF!</f>
        <v>#REF!</v>
      </c>
      <c r="V106" s="73" t="e">
        <f>'[3]9. Vzdelávanie'!$I$43</f>
        <v>#REF!</v>
      </c>
      <c r="W106" s="75" t="e">
        <f>'[3]9.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'[3]9. Vzdelávanie'!#REF!</f>
        <v>#REF!</v>
      </c>
      <c r="G108" s="74" t="e">
        <f>'[3]9.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'[3]9. Vzdelávanie'!#REF!</f>
        <v>#REF!</v>
      </c>
      <c r="N108" s="73" t="e">
        <f>'[3]9. Vzdelávanie'!#REF!</f>
        <v>#REF!</v>
      </c>
      <c r="O108" s="75" t="e">
        <f>'[3]9.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'[2]9. Vzdelávanie'!$Q$25</f>
        <v>185514</v>
      </c>
      <c r="V108" s="73" t="e">
        <f>'[3]9. Vzdelávanie'!$I$46</f>
        <v>#REF!</v>
      </c>
      <c r="W108" s="75" t="e">
        <f>'[3]9.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'[3]9.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'[3]9. Vzdelávanie'!#REF!</f>
        <v>#REF!</v>
      </c>
      <c r="N109" s="73" t="e">
        <f>'[3]9. Vzdelávanie'!#REF!</f>
        <v>#REF!</v>
      </c>
      <c r="O109" s="75" t="e">
        <f>'[3]9.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'[2]9. Vzdelávanie'!$Q$26</f>
        <v>33520</v>
      </c>
      <c r="V109" s="73" t="e">
        <f>'[3]9. Vzdelávanie'!$I$47</f>
        <v>#REF!</v>
      </c>
      <c r="W109" s="75" t="e">
        <f>'[3]9.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'[3]9. Vzdelávanie'!#REF!</f>
        <v>#REF!</v>
      </c>
      <c r="G110" s="74" t="e">
        <f>'[3]9.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'[3]9. Vzdelávanie'!#REF!</f>
        <v>#REF!</v>
      </c>
      <c r="N110" s="73" t="e">
        <f>'[3]9. Vzdelávanie'!#REF!</f>
        <v>#REF!</v>
      </c>
      <c r="O110" s="75" t="e">
        <f>'[3]9.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'[2]9. Vzdelávanie'!$Q$27</f>
        <v>3786847</v>
      </c>
      <c r="V110" s="73">
        <f>'[3]9. Vzdelávanie'!$I$48</f>
        <v>0</v>
      </c>
      <c r="W110" s="75">
        <f>'[3]9.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'[3]9.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'[3]9. Vzdelávanie'!#REF!</f>
        <v>#REF!</v>
      </c>
      <c r="N111" s="73" t="e">
        <f>'[3]9. Vzdelávanie'!#REF!</f>
        <v>#REF!</v>
      </c>
      <c r="O111" s="75" t="e">
        <f>'[3]9.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'[2]9. Vzdelávanie'!$Q$36</f>
        <v>0</v>
      </c>
      <c r="V111" s="73" t="e">
        <f>'[3]9. Vzdelávanie'!$I$53</f>
        <v>#REF!</v>
      </c>
      <c r="W111" s="75" t="e">
        <f>'[3]9.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'[3]9. Vzdelávanie'!#REF!</f>
        <v>#REF!</v>
      </c>
      <c r="G112" s="74" t="e">
        <f>'[3]9.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'[3]9. Vzdelávanie'!#REF!</f>
        <v>#REF!</v>
      </c>
      <c r="N112" s="73" t="e">
        <f>'[3]9. Vzdelávanie'!#REF!</f>
        <v>#REF!</v>
      </c>
      <c r="O112" s="75" t="e">
        <f>'[3]9.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'[2]9. Vzdelávanie'!$Q$37</f>
        <v>1055759</v>
      </c>
      <c r="V112" s="73">
        <f>'[3]9. Vzdelávanie'!$I$54</f>
        <v>4320</v>
      </c>
      <c r="W112" s="75" t="e">
        <f>'[3]9.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'[3]9. Vzdelávanie'!#REF!</f>
        <v>#REF!</v>
      </c>
      <c r="G113" s="74" t="e">
        <f>'[3]9.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'[3]9. Vzdelávanie'!#REF!</f>
        <v>#REF!</v>
      </c>
      <c r="N113" s="73" t="e">
        <f>'[3]9. Vzdelávanie'!#REF!</f>
        <v>#REF!</v>
      </c>
      <c r="O113" s="75" t="e">
        <f>'[3]9.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'[2]9. Vzdelávanie'!$Q$38</f>
        <v>0</v>
      </c>
      <c r="V113" s="73">
        <f>'[2]9. Vzdelávanie'!$R$38</f>
        <v>0</v>
      </c>
      <c r="W113" s="75">
        <f>'[3]9.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'[3]9. Vzdelávanie'!#REF!</f>
        <v>#REF!</v>
      </c>
      <c r="G115" s="74" t="e">
        <f>'[3]9.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'[3]9. Vzdelávanie'!#REF!</f>
        <v>#REF!</v>
      </c>
      <c r="N115" s="73" t="e">
        <f>'[3]9. Vzdelávanie'!#REF!</f>
        <v>#REF!</v>
      </c>
      <c r="O115" s="75" t="e">
        <f>'[3]9.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'[2]9. Vzdelávanie'!$Q$46</f>
        <v>403289</v>
      </c>
      <c r="V115" s="73" t="e">
        <f>'[3]9. Vzdelávanie'!$I$59</f>
        <v>#REF!</v>
      </c>
      <c r="W115" s="75" t="e">
        <f>'[3]9.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'[3]9. Vzdelávanie'!#REF!</f>
        <v>#REF!</v>
      </c>
      <c r="G116" s="74" t="e">
        <f>'[3]9.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'[3]9. Vzdelávanie'!#REF!</f>
        <v>#REF!</v>
      </c>
      <c r="N116" s="73" t="e">
        <f>'[3]9. Vzdelávanie'!#REF!</f>
        <v>#REF!</v>
      </c>
      <c r="O116" s="75" t="e">
        <f>'[3]9.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'[2]9. Vzdelávanie'!#REF!</f>
        <v>#REF!</v>
      </c>
      <c r="V116" s="73" t="e">
        <f>'[3]9. Vzdelávanie'!$I$60</f>
        <v>#REF!</v>
      </c>
      <c r="W116" s="75" t="e">
        <f>'[3]9.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'[3]9. Vzdelávanie'!#REF!</f>
        <v>#REF!</v>
      </c>
      <c r="G117" s="173" t="e">
        <f>'[3]9.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'[3]9. Vzdelávanie'!#REF!</f>
        <v>#REF!</v>
      </c>
      <c r="N117" s="172" t="e">
        <f>'[3]9. Vzdelávanie'!#REF!</f>
        <v>#REF!</v>
      </c>
      <c r="O117" s="174" t="e">
        <f>'[3]9.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'[3]9. Vzdelávanie'!$H$61</f>
        <v>212760</v>
      </c>
      <c r="V117" s="172">
        <f>'[3]9. Vzdelávanie'!$I$61</f>
        <v>0</v>
      </c>
      <c r="W117" s="174">
        <f>'[3]9.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'[3]9.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'[3]9. Vzdelávanie'!#REF!</f>
        <v>#REF!</v>
      </c>
      <c r="N118" s="172" t="e">
        <f>'[3]9. Vzdelávanie'!#REF!</f>
        <v>#REF!</v>
      </c>
      <c r="O118" s="174" t="e">
        <f>'[3]9.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'[3]9. Vzdelávanie'!$H$72</f>
        <v>243590</v>
      </c>
      <c r="V118" s="172" t="e">
        <f>'[3]9. Vzdelávanie'!$I$72</f>
        <v>#REF!</v>
      </c>
      <c r="W118" s="174" t="e">
        <f>'[3]9.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'[3]9. Vzdelávanie'!#REF!</f>
        <v>#REF!</v>
      </c>
      <c r="G119" s="180" t="e">
        <f>'[3]9.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'[3]9. Vzdelávanie'!#REF!</f>
        <v>#REF!</v>
      </c>
      <c r="N119" s="179" t="e">
        <f>'[3]9. Vzdelávanie'!#REF!</f>
        <v>#REF!</v>
      </c>
      <c r="O119" s="188" t="e">
        <f>'[3]9.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'[3]9. Vzdelávanie'!$H$73</f>
        <v>0</v>
      </c>
      <c r="V119" s="179">
        <f>'[3]9. Vzdelávanie'!$I$73</f>
        <v>0</v>
      </c>
      <c r="W119" s="188">
        <f>'[3]9.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'[3]10. Šport'!#REF!</f>
        <v>#REF!</v>
      </c>
      <c r="G121" s="173" t="e">
        <f>'[3]10.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'[3]10. Šport'!#REF!</f>
        <v>#REF!</v>
      </c>
      <c r="N121" s="172" t="e">
        <f>'[3]10. Šport'!#REF!</f>
        <v>#REF!</v>
      </c>
      <c r="O121" s="174" t="e">
        <f>'[3]10.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'[3]10. Šport'!$H$4</f>
        <v>500</v>
      </c>
      <c r="V121" s="172">
        <f>'[3]10. Šport'!$I$4</f>
        <v>0</v>
      </c>
      <c r="W121" s="174">
        <f>'[3]10.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'[3]10. Šport'!#REF!</f>
        <v>#REF!</v>
      </c>
      <c r="G123" s="74" t="e">
        <f>'[3]10.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'[3]10. Šport'!#REF!</f>
        <v>#REF!</v>
      </c>
      <c r="N123" s="73" t="e">
        <f>'[3]10. Šport'!#REF!</f>
        <v>#REF!</v>
      </c>
      <c r="O123" s="75" t="e">
        <f>'[3]10.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'[3]10. Šport'!$H$9</f>
        <v>42170</v>
      </c>
      <c r="V123" s="73">
        <f>'[3]10. Šport'!$I$9</f>
        <v>0</v>
      </c>
      <c r="W123" s="75">
        <f>'[3]10.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'[3]10. Šport'!#REF!</f>
        <v>#REF!</v>
      </c>
      <c r="H124" s="72" t="e">
        <f t="shared" si="59"/>
        <v>#REF!</v>
      </c>
      <c r="I124" s="73">
        <v>27121</v>
      </c>
      <c r="J124" s="73" t="e">
        <f>'[3]10. Šport'!#REF!</f>
        <v>#REF!</v>
      </c>
      <c r="K124" s="75">
        <v>0</v>
      </c>
      <c r="L124" s="72" t="e">
        <f t="shared" si="60"/>
        <v>#REF!</v>
      </c>
      <c r="M124" s="73" t="e">
        <f>'[3]10. Šport'!#REF!</f>
        <v>#REF!</v>
      </c>
      <c r="N124" s="73" t="e">
        <f>'[3]10. Šport'!#REF!</f>
        <v>#REF!</v>
      </c>
      <c r="O124" s="75" t="e">
        <f>'[3]10.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'[3]10. Šport'!$H$23</f>
        <v>45954</v>
      </c>
      <c r="V124" s="73">
        <f>'[3]10. Šport'!$I$23</f>
        <v>0</v>
      </c>
      <c r="W124" s="75">
        <f>'[3]10.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'[3]10. Šport'!#REF!</f>
        <v>#REF!</v>
      </c>
      <c r="G125" s="74" t="e">
        <f>'[3]10.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'[3]10. Šport'!#REF!</f>
        <v>#REF!</v>
      </c>
      <c r="N125" s="73" t="e">
        <f>'[3]10. Šport'!#REF!</f>
        <v>#REF!</v>
      </c>
      <c r="O125" s="75" t="e">
        <f>'[3]10.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'[3]10. Šport'!$H$36</f>
        <v>18820</v>
      </c>
      <c r="V125" s="73">
        <f>'[3]10. Šport'!$I$36</f>
        <v>0</v>
      </c>
      <c r="W125" s="75">
        <f>'[3]10.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'[3]10. Šport'!#REF!</f>
        <v>#REF!</v>
      </c>
      <c r="G126" s="74" t="e">
        <f>'[3]10.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'[3]10. Šport'!#REF!</f>
        <v>#REF!</v>
      </c>
      <c r="N126" s="73" t="e">
        <f>'[3]10. Šport'!#REF!</f>
        <v>#REF!</v>
      </c>
      <c r="O126" s="75" t="e">
        <f>'[3]10.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'[2]10. Šport'!$Q$38</f>
        <v>16800</v>
      </c>
      <c r="V126" s="73">
        <f>'[3]10. Šport'!$I$44</f>
        <v>0</v>
      </c>
      <c r="W126" s="75">
        <f>'[3]10.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'[3]10. Šport'!#REF!</f>
        <v>#REF!</v>
      </c>
      <c r="G127" s="74" t="e">
        <f>'[3]10.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'[3]10. Šport'!#REF!</f>
        <v>#REF!</v>
      </c>
      <c r="N127" s="73" t="e">
        <f>'[3]10. Šport'!#REF!</f>
        <v>#REF!</v>
      </c>
      <c r="O127" s="75" t="e">
        <f>'[3]10.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'[3]10. Šport'!$H$57</f>
        <v>1900</v>
      </c>
      <c r="V127" s="73">
        <f>'[3]10. Šport'!$I$57</f>
        <v>0</v>
      </c>
      <c r="W127" s="75">
        <f>'[3]10.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'[2]10. Šport'!$Q$56</f>
        <v>12000</v>
      </c>
      <c r="V128" s="82">
        <f>'[3]10. Šport'!$I$63</f>
        <v>0</v>
      </c>
      <c r="W128" s="83">
        <f>'[3]10.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'[3]10. Šport'!#REF!</f>
        <v>#REF!</v>
      </c>
      <c r="G129" s="180" t="e">
        <f>'[3]10.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'[3]10. Šport'!#REF!</f>
        <v>#REF!</v>
      </c>
      <c r="N129" s="179" t="e">
        <f>'[3]10. Šport'!#REF!</f>
        <v>#REF!</v>
      </c>
      <c r="O129" s="188" t="e">
        <f>'[3]10.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'[3]10. Šport'!$H$67</f>
        <v>#REF!</v>
      </c>
      <c r="V129" s="179" t="e">
        <f>'[3]10. Šport'!$I$67</f>
        <v>#REF!</v>
      </c>
      <c r="W129" s="188" t="e">
        <f>'[3]10.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'[3]11. Kultúra'!#REF!</f>
        <v>#REF!</v>
      </c>
      <c r="G131" s="173" t="e">
        <f>'[3]11. Kultúra'!#REF!</f>
        <v>#REF!</v>
      </c>
      <c r="H131" s="171" t="e">
        <f>SUM(I131:K131)</f>
        <v>#REF!</v>
      </c>
      <c r="I131" s="172" t="e">
        <f>'[3]11. Kultúra'!#REF!</f>
        <v>#REF!</v>
      </c>
      <c r="J131" s="172" t="e">
        <f>'[3]11. Kultúra'!#REF!</f>
        <v>#REF!</v>
      </c>
      <c r="K131" s="174" t="e">
        <f>'[3]11. Kultúra'!#REF!</f>
        <v>#REF!</v>
      </c>
      <c r="L131" s="175" t="e">
        <f>SUM(M131:O131)</f>
        <v>#REF!</v>
      </c>
      <c r="M131" s="172" t="e">
        <f>'[3]11. Kultúra'!#REF!</f>
        <v>#REF!</v>
      </c>
      <c r="N131" s="172" t="e">
        <f>'[3]11. Kultúra'!#REF!</f>
        <v>#REF!</v>
      </c>
      <c r="O131" s="174" t="e">
        <f>'[3]11.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'[3]11. Kultúra'!$H$4</f>
        <v>2940</v>
      </c>
      <c r="V131" s="172">
        <f>'[3]11. Kultúra'!$I$4</f>
        <v>0</v>
      </c>
      <c r="W131" s="174">
        <f>'[3]11.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'[3]11. Kultúra'!#REF!</f>
        <v>#REF!</v>
      </c>
      <c r="H133" s="72" t="e">
        <f t="shared" ref="H133:H138" si="65">SUM(I133:K133)</f>
        <v>#REF!</v>
      </c>
      <c r="I133" s="73" t="e">
        <f>'[3]11. Kultúra'!#REF!</f>
        <v>#REF!</v>
      </c>
      <c r="J133" s="73" t="e">
        <f>'[3]11. Kultúra'!#REF!</f>
        <v>#REF!</v>
      </c>
      <c r="K133" s="75" t="e">
        <f>'[3]11. Kultúra'!#REF!</f>
        <v>#REF!</v>
      </c>
      <c r="L133" s="76" t="e">
        <f t="shared" ref="L133:L138" si="66">SUM(M133:O133)</f>
        <v>#REF!</v>
      </c>
      <c r="M133" s="73" t="e">
        <f>'[3]11. Kultúra'!#REF!</f>
        <v>#REF!</v>
      </c>
      <c r="N133" s="73" t="e">
        <f>'[3]11. Kultúra'!#REF!</f>
        <v>#REF!</v>
      </c>
      <c r="O133" s="75" t="e">
        <f>'[3]11.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'[3]11. Kultúra'!$H$24</f>
        <v>109400</v>
      </c>
      <c r="V133" s="73">
        <f>'[3]11. Kultúra'!$I$24</f>
        <v>0</v>
      </c>
      <c r="W133" s="75">
        <f>'[3]11.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'[3]11. Kultúra'!#REF!</f>
        <v>#REF!</v>
      </c>
      <c r="G134" s="74" t="e">
        <f>'[3]11. Kultúra'!#REF!</f>
        <v>#REF!</v>
      </c>
      <c r="H134" s="72" t="e">
        <f t="shared" si="65"/>
        <v>#REF!</v>
      </c>
      <c r="I134" s="73" t="e">
        <f>'[3]11. Kultúra'!#REF!</f>
        <v>#REF!</v>
      </c>
      <c r="J134" s="73" t="e">
        <f>'[3]11. Kultúra'!#REF!</f>
        <v>#REF!</v>
      </c>
      <c r="K134" s="75" t="e">
        <f>'[3]11. Kultúra'!#REF!</f>
        <v>#REF!</v>
      </c>
      <c r="L134" s="76" t="e">
        <f t="shared" si="66"/>
        <v>#REF!</v>
      </c>
      <c r="M134" s="73" t="e">
        <f>'[3]11. Kultúra'!#REF!</f>
        <v>#REF!</v>
      </c>
      <c r="N134" s="73" t="e">
        <f>'[3]11. Kultúra'!#REF!</f>
        <v>#REF!</v>
      </c>
      <c r="O134" s="75" t="e">
        <f>'[3]11.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'[3]11. Kultúra'!$H$30</f>
        <v>2355</v>
      </c>
      <c r="V134" s="73">
        <f>'[3]11. Kultúra'!$I$30</f>
        <v>0</v>
      </c>
      <c r="W134" s="75">
        <f>'[3]11.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'[3]11. Kultúra'!#REF!</f>
        <v>#REF!</v>
      </c>
      <c r="H135" s="72" t="e">
        <f t="shared" si="65"/>
        <v>#REF!</v>
      </c>
      <c r="I135" s="73" t="e">
        <f>'[3]11. Kultúra'!#REF!</f>
        <v>#REF!</v>
      </c>
      <c r="J135" s="73" t="e">
        <f>'[3]11. Kultúra'!#REF!</f>
        <v>#REF!</v>
      </c>
      <c r="K135" s="75" t="e">
        <f>'[3]11. Kultúra'!#REF!</f>
        <v>#REF!</v>
      </c>
      <c r="L135" s="76" t="e">
        <f t="shared" si="66"/>
        <v>#REF!</v>
      </c>
      <c r="M135" s="73" t="e">
        <f>'[3]11. Kultúra'!#REF!</f>
        <v>#REF!</v>
      </c>
      <c r="N135" s="73" t="e">
        <f>'[3]11. Kultúra'!#REF!</f>
        <v>#REF!</v>
      </c>
      <c r="O135" s="75" t="e">
        <f>'[3]11.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'[3]11. Kultúra'!$H$43</f>
        <v>306185</v>
      </c>
      <c r="V135" s="73">
        <f>'[3]11. Kultúra'!$I$43</f>
        <v>65088</v>
      </c>
      <c r="W135" s="75">
        <f>'[3]11.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'[3]11. Kultúra'!#REF!</f>
        <v>#REF!</v>
      </c>
      <c r="G136" s="74" t="e">
        <f>'[3]11. Kultúra'!#REF!</f>
        <v>#REF!</v>
      </c>
      <c r="H136" s="72" t="e">
        <f t="shared" si="65"/>
        <v>#REF!</v>
      </c>
      <c r="I136" s="73" t="e">
        <f>'[3]11. Kultúra'!#REF!</f>
        <v>#REF!</v>
      </c>
      <c r="J136" s="73" t="e">
        <f>'[3]11. Kultúra'!#REF!</f>
        <v>#REF!</v>
      </c>
      <c r="K136" s="75" t="e">
        <f>'[3]11. Kultúra'!#REF!</f>
        <v>#REF!</v>
      </c>
      <c r="L136" s="76" t="e">
        <f t="shared" si="66"/>
        <v>#REF!</v>
      </c>
      <c r="M136" s="73">
        <v>19300</v>
      </c>
      <c r="N136" s="73" t="e">
        <f>'[3]11. Kultúra'!#REF!</f>
        <v>#REF!</v>
      </c>
      <c r="O136" s="75" t="e">
        <f>'[3]11.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'[3]11. Kultúra'!$H$141</f>
        <v>#REF!</v>
      </c>
      <c r="V136" s="73" t="e">
        <f>'[3]11. Kultúra'!$I$140</f>
        <v>#REF!</v>
      </c>
      <c r="W136" s="75" t="e">
        <f>'[3]11.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'[3]11. Kultúra'!#REF!</f>
        <v>#REF!</v>
      </c>
      <c r="H137" s="171" t="e">
        <f t="shared" si="65"/>
        <v>#REF!</v>
      </c>
      <c r="I137" s="172" t="e">
        <f>'[3]11. Kultúra'!#REF!</f>
        <v>#REF!</v>
      </c>
      <c r="J137" s="172" t="e">
        <f>'[3]11. Kultúra'!#REF!</f>
        <v>#REF!</v>
      </c>
      <c r="K137" s="174" t="e">
        <f>'[3]11. Kultúra'!#REF!</f>
        <v>#REF!</v>
      </c>
      <c r="L137" s="175" t="e">
        <f t="shared" si="66"/>
        <v>#REF!</v>
      </c>
      <c r="M137" s="172">
        <v>3300</v>
      </c>
      <c r="N137" s="172" t="e">
        <f>'[3]11. Kultúra'!#REF!</f>
        <v>#REF!</v>
      </c>
      <c r="O137" s="174" t="e">
        <f>'[3]11.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'[3]11. Kultúra'!$H$156</f>
        <v>300</v>
      </c>
      <c r="V137" s="172" t="e">
        <f>'[3]11. Kultúra'!$I$156</f>
        <v>#REF!</v>
      </c>
      <c r="W137" s="174" t="e">
        <f>'[3]11.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'[3]11. Kultúra'!#REF!</f>
        <v>#REF!</v>
      </c>
      <c r="G138" s="201" t="e">
        <f>'[3]11. Kultúra'!#REF!</f>
        <v>#REF!</v>
      </c>
      <c r="H138" s="202" t="e">
        <f t="shared" si="65"/>
        <v>#REF!</v>
      </c>
      <c r="I138" s="203" t="e">
        <f>'[3]11. Kultúra'!#REF!</f>
        <v>#REF!</v>
      </c>
      <c r="J138" s="203" t="e">
        <f>'[3]11. Kultúra'!#REF!</f>
        <v>#REF!</v>
      </c>
      <c r="K138" s="204" t="e">
        <f>'[3]11. Kultúra'!#REF!</f>
        <v>#REF!</v>
      </c>
      <c r="L138" s="187" t="e">
        <f t="shared" si="66"/>
        <v>#REF!</v>
      </c>
      <c r="M138" s="179">
        <v>0</v>
      </c>
      <c r="N138" s="179" t="e">
        <f>'[3]11. Kultúra'!#REF!</f>
        <v>#REF!</v>
      </c>
      <c r="O138" s="205" t="e">
        <f>'[3]11.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'[3]11. Kultúra'!$H$160</f>
        <v>#REF!</v>
      </c>
      <c r="V138" s="179" t="e">
        <f>'[3]11. Kultúra'!$I$160</f>
        <v>#REF!</v>
      </c>
      <c r="W138" s="205" t="e">
        <f>'[3]11.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'[3]12. Prostredie pre život'!#REF!</f>
        <v>#REF!</v>
      </c>
      <c r="G141" s="74" t="e">
        <f>'[3]12.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'[3]12. Prostredie pre život'!#REF!</f>
        <v>#REF!</v>
      </c>
      <c r="N141" s="73" t="e">
        <f>'[3]12. Prostredie pre život'!#REF!</f>
        <v>#REF!</v>
      </c>
      <c r="O141" s="75" t="e">
        <f>'[3]12.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'[3]12. Prostredie pre život'!$H$5</f>
        <v>117930</v>
      </c>
      <c r="V141" s="73">
        <f>'[3]12. Prostredie pre život'!$I$5</f>
        <v>0</v>
      </c>
      <c r="W141" s="75">
        <f>'[3]12.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'[3]12. Prostredie pre život'!#REF!</f>
        <v>#REF!</v>
      </c>
      <c r="F142" s="73" t="e">
        <f>'[3]12. Prostredie pre život'!#REF!</f>
        <v>#REF!</v>
      </c>
      <c r="G142" s="74" t="e">
        <f>'[3]12.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'[3]12. Prostredie pre život'!#REF!</f>
        <v>#REF!</v>
      </c>
      <c r="N142" s="73" t="e">
        <f>'[3]12. Prostredie pre život'!#REF!</f>
        <v>#REF!</v>
      </c>
      <c r="O142" s="75" t="e">
        <f>'[3]12.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'[3]12. Prostredie pre život'!$H$19</f>
        <v>450</v>
      </c>
      <c r="V142" s="73">
        <f>'[3]12. Prostredie pre život'!$I$19</f>
        <v>0</v>
      </c>
      <c r="W142" s="75">
        <f>'[3]12.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'[3]12.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'[3]12. Prostredie pre život'!#REF!</f>
        <v>#REF!</v>
      </c>
      <c r="O143" s="75" t="e">
        <f>'[3]12.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'[3]12. Prostredie pre život'!$H$21</f>
        <v>151902</v>
      </c>
      <c r="V143" s="73">
        <f>'[3]12. Prostredie pre život'!$I$21</f>
        <v>1921299</v>
      </c>
      <c r="W143" s="75">
        <f>'[3]12.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'[3]12. Prostredie pre život'!#REF!</f>
        <v>#REF!</v>
      </c>
      <c r="G144" s="74" t="e">
        <f>'[3]12.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'[3]12. Prostredie pre život'!#REF!</f>
        <v>#REF!</v>
      </c>
      <c r="N144" s="73" t="e">
        <f>'[3]12. Prostredie pre život'!#REF!</f>
        <v>#REF!</v>
      </c>
      <c r="O144" s="75" t="e">
        <f>'[3]12.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'[3]12. Prostredie pre život'!$H$39</f>
        <v>2850</v>
      </c>
      <c r="V144" s="73">
        <f>'[3]12. Prostredie pre život'!$I$39</f>
        <v>0</v>
      </c>
      <c r="W144" s="75">
        <f>'[3]12.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'[3]12. Prostredie pre život'!#REF!</f>
        <v>#REF!</v>
      </c>
      <c r="G145" s="173" t="e">
        <f>'[3]12.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'[3]12. Prostredie pre život'!#REF!</f>
        <v>#REF!</v>
      </c>
      <c r="N145" s="172" t="e">
        <f>'[3]12. Prostredie pre život'!#REF!</f>
        <v>#REF!</v>
      </c>
      <c r="O145" s="174" t="e">
        <f>'[3]12.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'[3]12. Prostredie pre život'!$H$45</f>
        <v>1825</v>
      </c>
      <c r="V145" s="172">
        <f>'[3]12. Prostredie pre život'!$I$45</f>
        <v>0</v>
      </c>
      <c r="W145" s="174">
        <f>'[3]12.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'[3]12. Prostredie pre život'!#REF!</f>
        <v>#REF!</v>
      </c>
      <c r="G146" s="173" t="e">
        <f>'[3]12.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'[3]12. Prostredie pre život'!#REF!</f>
        <v>#REF!</v>
      </c>
      <c r="N146" s="172" t="e">
        <f>'[3]12. Prostredie pre život'!#REF!</f>
        <v>#REF!</v>
      </c>
      <c r="O146" s="174" t="e">
        <f>'[3]12.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'[3]12. Prostredie pre život'!$H$48</f>
        <v>6840</v>
      </c>
      <c r="V146" s="172">
        <f>'[3]12. Prostredie pre život'!$I$48</f>
        <v>7000</v>
      </c>
      <c r="W146" s="174">
        <f>'[3]12.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'[3]12. Prostredie pre život'!#REF!</f>
        <v>#REF!</v>
      </c>
      <c r="G147" s="173" t="e">
        <f>'[3]12.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'[3]12. Prostredie pre život'!#REF!</f>
        <v>#REF!</v>
      </c>
      <c r="N147" s="172" t="e">
        <f>'[3]12. Prostredie pre život'!#REF!</f>
        <v>#REF!</v>
      </c>
      <c r="O147" s="174" t="e">
        <f>'[3]12.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'[3]12. Prostredie pre život'!$H$60</f>
        <v>75</v>
      </c>
      <c r="V147" s="172">
        <f>'[3]12. Prostredie pre život'!$I$60</f>
        <v>0</v>
      </c>
      <c r="W147" s="174">
        <f>'[3]12.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'[3]12. Prostredie pre život'!#REF!</f>
        <v>#REF!</v>
      </c>
      <c r="G148" s="173" t="e">
        <f>'[3]12.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'[3]12. Prostredie pre život'!#REF!</f>
        <v>#REF!</v>
      </c>
      <c r="N148" s="172" t="e">
        <f>'[3]12. Prostredie pre život'!#REF!</f>
        <v>#REF!</v>
      </c>
      <c r="O148" s="174" t="e">
        <f>'[3]12.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'[3]12. Prostredie pre život'!$H$62</f>
        <v>19460</v>
      </c>
      <c r="V148" s="172">
        <f>'[3]12. Prostredie pre život'!$I$62</f>
        <v>0</v>
      </c>
      <c r="W148" s="174">
        <f>'[3]12.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'[3]12.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'[3]12. Prostredie pre život'!#REF!</f>
        <v>#REF!</v>
      </c>
      <c r="N149" s="181" t="e">
        <f>'[3]12. Prostredie pre život'!#REF!</f>
        <v>#REF!</v>
      </c>
      <c r="O149" s="182" t="e">
        <f>'[3]12.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'[3]12. Prostredie pre život'!$H$69</f>
        <v>28950</v>
      </c>
      <c r="V149" s="181">
        <f>'[3]12. Prostredie pre život'!$I$69</f>
        <v>8480</v>
      </c>
      <c r="W149" s="182">
        <f>'[3]12.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'[3]12. Prostredie pre život'!#REF!</f>
        <v>#REF!</v>
      </c>
      <c r="G150" s="180" t="e">
        <f>'[3]12.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'[3]12. Prostredie pre život'!#REF!</f>
        <v>#REF!</v>
      </c>
      <c r="N150" s="179" t="e">
        <f>'[3]12. Prostredie pre život'!#REF!</f>
        <v>#REF!</v>
      </c>
      <c r="O150" s="188" t="e">
        <f>'[3]12.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'[3]12. Prostredie pre život'!$H$98</f>
        <v>0</v>
      </c>
      <c r="V150" s="179">
        <f>'[3]12. Prostredie pre život'!$I$98</f>
        <v>0</v>
      </c>
      <c r="W150" s="188">
        <f>'[3]12.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'[3]13. Sociálna starostlivosť'!#REF!</f>
        <v>#REF!</v>
      </c>
      <c r="G153" s="74" t="e">
        <f>'[3]13.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'[3]13. Sociálna starostlivosť'!#REF!</f>
        <v>#REF!</v>
      </c>
      <c r="O153" s="75" t="e">
        <f>'[3]13.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'[3]13. Sociálna starostlivosť'!$H$5</f>
        <v>0</v>
      </c>
      <c r="V153" s="73">
        <f>'[3]13. Sociálna starostlivosť'!$I$5</f>
        <v>0</v>
      </c>
      <c r="W153" s="75" t="e">
        <f>'[3]13.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'[3]13. Sociálna starostlivosť'!#REF!</f>
        <v>#REF!</v>
      </c>
      <c r="G154" s="74" t="e">
        <f>'[3]13.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'[3]13. Sociálna starostlivosť'!#REF!</f>
        <v>#REF!</v>
      </c>
      <c r="O154" s="75" t="e">
        <f>'[3]13.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'[3]13. Sociálna starostlivosť'!$H$7</f>
        <v>0</v>
      </c>
      <c r="V154" s="73" t="e">
        <f>'[3]13. Sociálna starostlivosť'!$I$7</f>
        <v>#REF!</v>
      </c>
      <c r="W154" s="75" t="e">
        <f>'[3]13.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'[3]13. Sociálna starostlivosť'!#REF!</f>
        <v>#REF!</v>
      </c>
      <c r="G155" s="74" t="e">
        <f>'[3]13.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'[3]13. Sociálna starostlivosť'!#REF!</f>
        <v>#REF!</v>
      </c>
      <c r="N155" s="73" t="e">
        <f>'[3]13. Sociálna starostlivosť'!#REF!</f>
        <v>#REF!</v>
      </c>
      <c r="O155" s="75" t="e">
        <f>'[3]13.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'[3]13. Sociálna starostlivosť'!$H$8</f>
        <v>2000</v>
      </c>
      <c r="V155" s="73">
        <f>'[3]13. Sociálna starostlivosť'!$I$8</f>
        <v>0</v>
      </c>
      <c r="W155" s="75">
        <f>'[3]13.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'[3]13. Sociálna starostlivosť'!#REF!</f>
        <v>#REF!</v>
      </c>
      <c r="G157" s="74" t="e">
        <f>'[3]13.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'[3]13. Sociálna starostlivosť'!#REF!</f>
        <v>#REF!</v>
      </c>
      <c r="O157" s="75" t="e">
        <f>'[3]13.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'[3]13. Sociálna starostlivosť'!$H$11</f>
        <v>155</v>
      </c>
      <c r="V157" s="73">
        <f>'[3]13. Sociálna starostlivosť'!$I$11</f>
        <v>0</v>
      </c>
      <c r="W157" s="75">
        <f>'[3]13.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'[3]13. Sociálna starostlivosť'!#REF!</f>
        <v>#REF!</v>
      </c>
      <c r="G158" s="74" t="e">
        <f>'[3]13.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'[3]13. Sociálna starostlivosť'!#REF!</f>
        <v>#REF!</v>
      </c>
      <c r="O158" s="75" t="e">
        <f>'[3]13.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'[3]13. Sociálna starostlivosť'!$H$17</f>
        <v>0</v>
      </c>
      <c r="V158" s="73" t="e">
        <f>'[3]13. Sociálna starostlivosť'!$I$17</f>
        <v>#REF!</v>
      </c>
      <c r="W158" s="75" t="e">
        <f>'[3]13.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'[3]13. Sociálna starostlivosť'!#REF!</f>
        <v>#REF!</v>
      </c>
      <c r="G159" s="74" t="e">
        <f>'[3]13.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'[3]13. Sociálna starostlivosť'!#REF!</f>
        <v>#REF!</v>
      </c>
      <c r="N159" s="73" t="e">
        <f>'[3]13. Sociálna starostlivosť'!#REF!</f>
        <v>#REF!</v>
      </c>
      <c r="O159" s="75" t="e">
        <f>'[3]13.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'[3]13. Sociálna starostlivosť'!$H$18</f>
        <v>7695</v>
      </c>
      <c r="V159" s="73">
        <f>'[3]13. Sociálna starostlivosť'!$I$18</f>
        <v>0</v>
      </c>
      <c r="W159" s="75">
        <f>'[3]13.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'[3]13. Sociálna starostlivosť'!#REF!</f>
        <v>#REF!</v>
      </c>
      <c r="G160" s="74" t="e">
        <f>'[3]13.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'[3]13. Sociálna starostlivosť'!#REF!</f>
        <v>#REF!</v>
      </c>
      <c r="O160" s="75" t="e">
        <f>'[3]13.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'[3]13. Sociálna starostlivosť'!$H$20</f>
        <v>0</v>
      </c>
      <c r="V160" s="73" t="e">
        <f>'[3]13. Sociálna starostlivosť'!$I$20</f>
        <v>#REF!</v>
      </c>
      <c r="W160" s="75" t="e">
        <f>'[3]13.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'[3]13. Sociálna starostlivosť'!#REF!</f>
        <v>#REF!</v>
      </c>
      <c r="G162" s="74" t="e">
        <f>'[3]13.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'[3]13. Sociálna starostlivosť'!#REF!</f>
        <v>#REF!</v>
      </c>
      <c r="O162" s="75" t="e">
        <f>'[3]13.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'[3]13. Sociálna starostlivosť'!$H$22</f>
        <v>0</v>
      </c>
      <c r="V162" s="73" t="e">
        <f>'[3]13. Sociálna starostlivosť'!$I$22</f>
        <v>#REF!</v>
      </c>
      <c r="W162" s="75" t="e">
        <f>'[3]13.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'[3]13. Sociálna starostlivosť'!#REF!</f>
        <v>#REF!</v>
      </c>
      <c r="G163" s="74" t="e">
        <f>'[3]13.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'[3]13. Sociálna starostlivosť'!#REF!</f>
        <v>#REF!</v>
      </c>
      <c r="O163" s="75" t="e">
        <f>'[3]13.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'[3]13. Sociálna starostlivosť'!$H$24</f>
        <v>0</v>
      </c>
      <c r="V163" s="73" t="e">
        <f>'[3]13. Sociálna starostlivosť'!$I$24</f>
        <v>#REF!</v>
      </c>
      <c r="W163" s="75" t="e">
        <f>'[3]13.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'[3]13.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'[3]13.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'[3]13. Sociálna starostlivosť'!$H$25</f>
        <v>0</v>
      </c>
      <c r="V164" s="73">
        <f>'[3]13. Sociálna starostlivosť'!$I$25</f>
        <v>2032610</v>
      </c>
      <c r="W164" s="75">
        <f>'[3]13.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'[3]13.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'[3]13. Sociálna starostlivosť'!#REF!</f>
        <v>#REF!</v>
      </c>
      <c r="O166" s="75" t="e">
        <f>'[3]13.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'[3]13. Sociálna starostlivosť'!$H$38</f>
        <v>0</v>
      </c>
      <c r="V166" s="73">
        <f>'[3]13. Sociálna starostlivosť'!$I$38</f>
        <v>0</v>
      </c>
      <c r="W166" s="75">
        <f>'[3]13.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'[3]13. Sociálna starostlivosť'!#REF!</f>
        <v>#REF!</v>
      </c>
      <c r="G167" s="74" t="e">
        <f>'[3]13.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'[3]13. Sociálna starostlivosť'!#REF!</f>
        <v>#REF!</v>
      </c>
      <c r="N167" s="73" t="e">
        <f>'[3]13. Sociálna starostlivosť'!#REF!</f>
        <v>#REF!</v>
      </c>
      <c r="O167" s="75" t="e">
        <f>'[3]13.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'[3]13. Sociálna starostlivosť'!$H$41</f>
        <v>0</v>
      </c>
      <c r="V167" s="73">
        <f>'[3]13. Sociálna starostlivosť'!$I$41</f>
        <v>0</v>
      </c>
      <c r="W167" s="75">
        <f>'[3]13.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'[3]13. Sociálna starostlivosť'!#REF!</f>
        <v>#REF!</v>
      </c>
      <c r="G168" s="74" t="e">
        <f>'[3]13.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'[3]13. Sociálna starostlivosť'!#REF!</f>
        <v>#REF!</v>
      </c>
      <c r="O168" s="75" t="e">
        <f>'[3]13.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'[3]13. Sociálna starostlivosť'!$H$43</f>
        <v>0</v>
      </c>
      <c r="V168" s="73" t="e">
        <f>'[3]13. Sociálna starostlivosť'!$I$43</f>
        <v>#REF!</v>
      </c>
      <c r="W168" s="75" t="e">
        <f>'[3]13.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'[3]13. Sociálna starostlivosť'!#REF!</f>
        <v>#REF!</v>
      </c>
      <c r="G169" s="173" t="e">
        <f>'[3]13.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'[3]13. Sociálna starostlivosť'!#REF!</f>
        <v>#REF!</v>
      </c>
      <c r="O169" s="174" t="e">
        <f>'[3]13.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'[3]13. Sociálna starostlivosť'!$H$44</f>
        <v>0</v>
      </c>
      <c r="V169" s="172" t="e">
        <f>'[3]13. Sociálna starostlivosť'!$I$44</f>
        <v>#REF!</v>
      </c>
      <c r="W169" s="174" t="e">
        <f>'[3]13.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'[3]13. Sociálna starostlivosť'!#REF!</f>
        <v>#REF!</v>
      </c>
      <c r="G170" s="173" t="e">
        <f>'[3]13.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'[3]13. Sociálna starostlivosť'!#REF!</f>
        <v>#REF!</v>
      </c>
      <c r="N170" s="172" t="e">
        <f>'[3]13. Sociálna starostlivosť'!#REF!</f>
        <v>#REF!</v>
      </c>
      <c r="O170" s="174" t="e">
        <f>'[3]13.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'[3]13. Sociálna starostlivosť'!$H$45</f>
        <v>16468</v>
      </c>
      <c r="V170" s="172">
        <f>'[3]13. Sociálna starostlivosť'!$I$45</f>
        <v>0</v>
      </c>
      <c r="W170" s="174">
        <f>'[3]13.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'[3]13. Sociálna starostlivosť'!#REF!</f>
        <v>#REF!</v>
      </c>
      <c r="G172" s="74" t="e">
        <f>'[3]13.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'[3]13. Sociálna starostlivosť'!#REF!</f>
        <v>#REF!</v>
      </c>
      <c r="N172" s="73" t="e">
        <f>'[3]13. Sociálna starostlivosť'!#REF!</f>
        <v>#REF!</v>
      </c>
      <c r="O172" s="75" t="e">
        <f>'[3]13.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'[3]13. Sociálna starostlivosť'!$H$54</f>
        <v>150</v>
      </c>
      <c r="V172" s="73" t="e">
        <f>'[3]13. Sociálna starostlivosť'!$I$54</f>
        <v>#REF!</v>
      </c>
      <c r="W172" s="75" t="e">
        <f>'[3]13.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'[3]13. Sociálna starostlivosť'!#REF!</f>
        <v>#REF!</v>
      </c>
      <c r="G173" s="180" t="e">
        <f>'[3]13. Sociálna starostlivosť'!#REF!</f>
        <v>#REF!</v>
      </c>
      <c r="H173" s="178" t="e">
        <f>SUM(I173:K173)</f>
        <v>#REF!</v>
      </c>
      <c r="I173" s="179" t="e">
        <f>'[3]13.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'[3]13. Sociálna starostlivosť'!#REF!</f>
        <v>#REF!</v>
      </c>
      <c r="N173" s="179" t="e">
        <f>'[3]13. Sociálna starostlivosť'!#REF!</f>
        <v>#REF!</v>
      </c>
      <c r="O173" s="188" t="e">
        <f>'[3]13.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'[3]13. Sociálna starostlivosť'!$H$75</f>
        <v>1300</v>
      </c>
      <c r="V173" s="179" t="e">
        <f>'[3]13. Sociálna starostlivosť'!$I$75</f>
        <v>#REF!</v>
      </c>
      <c r="W173" s="188" t="e">
        <f>'[3]13.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'[3]14.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'[3]14. Bývanie'!#REF!</f>
        <v>#REF!</v>
      </c>
      <c r="N174" s="164" t="e">
        <f>'[3]14. Bývanie'!#REF!</f>
        <v>#REF!</v>
      </c>
      <c r="O174" s="164" t="e">
        <f>'[3]14.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'[3]14. Bývanie'!$H$18</f>
        <v>329843</v>
      </c>
      <c r="V174" s="164">
        <f>'[3]14. Bývanie'!$I$18</f>
        <v>0</v>
      </c>
      <c r="W174" s="164">
        <f>'[3]14.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'[3]15.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'[3]15. Administratíva'!#REF!</f>
        <v>#REF!</v>
      </c>
      <c r="L176" s="76" t="e">
        <f>SUM(M176:O176)</f>
        <v>#REF!</v>
      </c>
      <c r="M176" s="73" t="e">
        <f>'[3]15. Administratíva'!#REF!</f>
        <v>#REF!</v>
      </c>
      <c r="N176" s="73" t="e">
        <f>'[3]15. Administratíva'!#REF!</f>
        <v>#REF!</v>
      </c>
      <c r="O176" s="75" t="e">
        <f>'[3]15.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'[3]15. Administratíva'!$H$89</f>
        <v>1343</v>
      </c>
      <c r="V176" s="73" t="e">
        <f>'[3]15. Administratíva'!$I$89</f>
        <v>#REF!</v>
      </c>
      <c r="W176" s="75" t="e">
        <f>'[3]15.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'[3]15. Administratíva'!#REF!</f>
        <v>#REF!</v>
      </c>
      <c r="F177" s="73" t="e">
        <f>'[3]15.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'[3]15. Administratíva'!#REF!</f>
        <v>#REF!</v>
      </c>
      <c r="N177" s="73" t="e">
        <f>'[3]15. Administratíva'!#REF!</f>
        <v>#REF!</v>
      </c>
      <c r="O177" s="75" t="e">
        <f>'[3]15.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'[3]15. Administratíva'!$H$91</f>
        <v>#REF!</v>
      </c>
      <c r="V177" s="73" t="e">
        <f>'[3]15. Administratíva'!$I$91</f>
        <v>#REF!</v>
      </c>
      <c r="W177" s="75" t="e">
        <f>'[3]15.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'[3]15. Administratíva'!#REF!</f>
        <v>#REF!</v>
      </c>
      <c r="G178" s="81" t="e">
        <f>'[3]15.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'[3]15. Administratíva'!#REF!</f>
        <v>#REF!</v>
      </c>
      <c r="O178" s="90" t="e">
        <f>'[3]15.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'[2]15. Administratíva'!$Q$4</f>
        <v>1303806</v>
      </c>
      <c r="V178" s="80">
        <f>'[3]15. Administratíva'!$I$4</f>
        <v>0</v>
      </c>
      <c r="W178" s="90">
        <f>'[3]15.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710" t="s">
        <v>392</v>
      </c>
      <c r="B1" s="710"/>
      <c r="C1" s="710"/>
      <c r="D1" s="710"/>
      <c r="E1" s="710"/>
      <c r="F1" s="710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C1"/>
    </sheetView>
  </sheetViews>
  <sheetFormatPr defaultColWidth="34.28515625" defaultRowHeight="12.75" x14ac:dyDescent="0.2"/>
  <cols>
    <col min="1" max="1" width="59.42578125" style="101" bestFit="1" customWidth="1"/>
    <col min="2" max="2" width="22.140625" style="102" customWidth="1"/>
    <col min="3" max="3" width="22.140625" style="352" customWidth="1"/>
    <col min="4" max="4" width="15.5703125" style="564" customWidth="1"/>
    <col min="5" max="11" width="15.5703125" style="101" customWidth="1"/>
    <col min="12" max="244" width="9.140625" style="101" customWidth="1"/>
    <col min="245" max="16384" width="34.28515625" style="101"/>
  </cols>
  <sheetData>
    <row r="1" spans="1:3" ht="20.25" x14ac:dyDescent="0.3">
      <c r="A1" s="685" t="s">
        <v>656</v>
      </c>
      <c r="B1" s="685"/>
      <c r="C1" s="685"/>
    </row>
    <row r="2" spans="1:3" ht="13.5" thickBot="1" x14ac:dyDescent="0.25"/>
    <row r="3" spans="1:3" ht="57" customHeight="1" thickBot="1" x14ac:dyDescent="0.3">
      <c r="A3" s="336" t="s">
        <v>401</v>
      </c>
      <c r="B3" s="337" t="s">
        <v>626</v>
      </c>
      <c r="C3" s="406" t="s">
        <v>629</v>
      </c>
    </row>
    <row r="4" spans="1:3" ht="20.25" customHeight="1" x14ac:dyDescent="0.25">
      <c r="A4" s="334" t="s">
        <v>402</v>
      </c>
      <c r="B4" s="335">
        <f>'príjmy '!B3</f>
        <v>31100980</v>
      </c>
      <c r="C4" s="407">
        <f>'príjmy '!C3</f>
        <v>10966803.09</v>
      </c>
    </row>
    <row r="5" spans="1:3" ht="21.75" customHeight="1" x14ac:dyDescent="0.25">
      <c r="A5" s="105" t="s">
        <v>403</v>
      </c>
      <c r="B5" s="117">
        <f>'výdavky '!E6</f>
        <v>31035116</v>
      </c>
      <c r="C5" s="408">
        <f>'výdavky '!I6</f>
        <v>9565983.6600000001</v>
      </c>
    </row>
    <row r="6" spans="1:3" ht="21" customHeight="1" x14ac:dyDescent="0.25">
      <c r="A6" s="105" t="s">
        <v>379</v>
      </c>
      <c r="B6" s="117">
        <f t="shared" ref="B6:C6" si="0">B4-B5</f>
        <v>65864</v>
      </c>
      <c r="C6" s="408">
        <f t="shared" si="0"/>
        <v>1400819.4299999997</v>
      </c>
    </row>
    <row r="7" spans="1:3" ht="18" x14ac:dyDescent="0.25">
      <c r="A7" s="105"/>
      <c r="B7" s="117"/>
      <c r="C7" s="408"/>
    </row>
    <row r="8" spans="1:3" ht="21.75" customHeight="1" x14ac:dyDescent="0.25">
      <c r="A8" s="105" t="s">
        <v>396</v>
      </c>
      <c r="B8" s="117">
        <f>'príjmy '!B88</f>
        <v>5158200</v>
      </c>
      <c r="C8" s="408">
        <f>'príjmy '!C88</f>
        <v>1685747.81</v>
      </c>
    </row>
    <row r="9" spans="1:3" ht="21" customHeight="1" x14ac:dyDescent="0.25">
      <c r="A9" s="105" t="s">
        <v>397</v>
      </c>
      <c r="B9" s="117">
        <f>'výdavky '!F6</f>
        <v>8332029</v>
      </c>
      <c r="C9" s="408">
        <f>'výdavky '!J6</f>
        <v>1728855.25</v>
      </c>
    </row>
    <row r="10" spans="1:3" ht="21.75" customHeight="1" x14ac:dyDescent="0.25">
      <c r="A10" s="105" t="s">
        <v>379</v>
      </c>
      <c r="B10" s="117">
        <f t="shared" ref="B10:C10" si="1">B8-B9</f>
        <v>-3173829</v>
      </c>
      <c r="C10" s="408">
        <f t="shared" si="1"/>
        <v>-43107.439999999944</v>
      </c>
    </row>
    <row r="11" spans="1:3" ht="18" x14ac:dyDescent="0.25">
      <c r="A11" s="105"/>
      <c r="B11" s="117"/>
      <c r="C11" s="408"/>
    </row>
    <row r="12" spans="1:3" ht="22.5" customHeight="1" x14ac:dyDescent="0.25">
      <c r="A12" s="105" t="s">
        <v>398</v>
      </c>
      <c r="B12" s="117">
        <f>'príjmy '!B102</f>
        <v>4421315</v>
      </c>
      <c r="C12" s="408">
        <f>'príjmy '!C102</f>
        <v>405492.29000000004</v>
      </c>
    </row>
    <row r="13" spans="1:3" ht="22.5" customHeight="1" x14ac:dyDescent="0.25">
      <c r="A13" s="105" t="s">
        <v>399</v>
      </c>
      <c r="B13" s="117">
        <f>'výdavky '!G6</f>
        <v>1313350</v>
      </c>
      <c r="C13" s="408">
        <f>'výdavky '!K6</f>
        <v>319493.66000000003</v>
      </c>
    </row>
    <row r="14" spans="1:3" ht="18.75" thickBot="1" x14ac:dyDescent="0.3">
      <c r="A14" s="108" t="s">
        <v>379</v>
      </c>
      <c r="B14" s="120">
        <f t="shared" ref="B14:C14" si="2">B12-B13</f>
        <v>3107965</v>
      </c>
      <c r="C14" s="409">
        <f t="shared" si="2"/>
        <v>85998.63</v>
      </c>
    </row>
    <row r="15" spans="1:3" ht="13.5" thickBot="1" x14ac:dyDescent="0.25">
      <c r="A15" s="111"/>
    </row>
    <row r="16" spans="1:3" ht="22.5" customHeight="1" x14ac:dyDescent="0.3">
      <c r="A16" s="255" t="s">
        <v>130</v>
      </c>
      <c r="B16" s="257">
        <f t="shared" ref="B16:C16" si="3">B4+B8+B12</f>
        <v>40680495</v>
      </c>
      <c r="C16" s="410">
        <f t="shared" si="3"/>
        <v>13058043.190000001</v>
      </c>
    </row>
    <row r="17" spans="1:3" ht="27.75" customHeight="1" thickBot="1" x14ac:dyDescent="0.35">
      <c r="A17" s="330" t="s">
        <v>383</v>
      </c>
      <c r="B17" s="331">
        <f t="shared" ref="B17:C17" si="4">B5+B9+B13</f>
        <v>40680495</v>
      </c>
      <c r="C17" s="411">
        <f t="shared" si="4"/>
        <v>11614332.57</v>
      </c>
    </row>
    <row r="18" spans="1:3" ht="27" customHeight="1" thickBot="1" x14ac:dyDescent="0.35">
      <c r="A18" s="332" t="s">
        <v>384</v>
      </c>
      <c r="B18" s="333">
        <f t="shared" ref="B18:C18" si="5">B16-B17</f>
        <v>0</v>
      </c>
      <c r="C18" s="412">
        <f t="shared" si="5"/>
        <v>1443710.620000001</v>
      </c>
    </row>
    <row r="20" spans="1:3" ht="13.5" thickBot="1" x14ac:dyDescent="0.25"/>
    <row r="21" spans="1:3" ht="20.25" x14ac:dyDescent="0.3">
      <c r="A21" s="325" t="s">
        <v>423</v>
      </c>
      <c r="B21" s="326">
        <f t="shared" ref="B21:C21" si="6">B4+B8</f>
        <v>36259180</v>
      </c>
      <c r="C21" s="413">
        <f t="shared" si="6"/>
        <v>12652550.9</v>
      </c>
    </row>
    <row r="22" spans="1:3" ht="21" thickBot="1" x14ac:dyDescent="0.35">
      <c r="A22" s="327" t="s">
        <v>424</v>
      </c>
      <c r="B22" s="258">
        <f t="shared" ref="B22:C22" si="7">B5+B9</f>
        <v>39367145</v>
      </c>
      <c r="C22" s="414">
        <f t="shared" si="7"/>
        <v>11294838.91</v>
      </c>
    </row>
    <row r="23" spans="1:3" ht="21" thickBot="1" x14ac:dyDescent="0.35">
      <c r="A23" s="328" t="s">
        <v>410</v>
      </c>
      <c r="B23" s="329">
        <f t="shared" ref="B23:C23" si="8">B21-B22</f>
        <v>-3107965</v>
      </c>
      <c r="C23" s="415">
        <f t="shared" si="8"/>
        <v>1357711.9900000002</v>
      </c>
    </row>
    <row r="24" spans="1:3" ht="18.75" thickBot="1" x14ac:dyDescent="0.3">
      <c r="A24" s="256"/>
    </row>
    <row r="25" spans="1:3" ht="57" customHeight="1" thickBot="1" x14ac:dyDescent="0.3">
      <c r="A25" s="500" t="s">
        <v>420</v>
      </c>
      <c r="B25" s="337" t="s">
        <v>626</v>
      </c>
      <c r="C25" s="406" t="s">
        <v>629</v>
      </c>
    </row>
    <row r="26" spans="1:3" ht="18" x14ac:dyDescent="0.25">
      <c r="A26" s="501" t="s">
        <v>5</v>
      </c>
      <c r="B26" s="346">
        <f>'príjmy '!B4</f>
        <v>12470000</v>
      </c>
      <c r="C26" s="539">
        <f>'príjmy '!C4</f>
        <v>4971537.3499999996</v>
      </c>
    </row>
    <row r="27" spans="1:3" ht="18" x14ac:dyDescent="0.25">
      <c r="A27" s="502" t="s">
        <v>586</v>
      </c>
      <c r="B27" s="347">
        <f>'príjmy '!B19+'príjmy '!B30+'príjmy '!B52+'príjmy '!B89</f>
        <v>5144500</v>
      </c>
      <c r="C27" s="540">
        <f>'príjmy '!C19+'príjmy '!C30+'príjmy '!C52+'príjmy '!C89</f>
        <v>1424055.4899999998</v>
      </c>
    </row>
    <row r="28" spans="1:3" ht="18" x14ac:dyDescent="0.25">
      <c r="A28" s="502" t="s">
        <v>587</v>
      </c>
      <c r="B28" s="347">
        <f>'príjmy '!B60+'príjmy '!B93</f>
        <v>18644680</v>
      </c>
      <c r="C28" s="540">
        <f>'príjmy '!C60+'príjmy '!C93</f>
        <v>6256958.0599999996</v>
      </c>
    </row>
    <row r="29" spans="1:3" ht="18" x14ac:dyDescent="0.25">
      <c r="A29" s="502" t="s">
        <v>588</v>
      </c>
      <c r="B29" s="347">
        <f>'príjmy '!B103+'príjmy '!B104+'príjmy '!B105</f>
        <v>771315</v>
      </c>
      <c r="C29" s="347">
        <f>'príjmy '!C103+'príjmy '!C104+'príjmy '!C105</f>
        <v>316784.28000000003</v>
      </c>
    </row>
    <row r="30" spans="1:3" ht="18" x14ac:dyDescent="0.25">
      <c r="A30" s="502" t="s">
        <v>589</v>
      </c>
      <c r="B30" s="347">
        <f>'príjmy '!B106+'príjmy '!B107</f>
        <v>3650000</v>
      </c>
      <c r="C30" s="347">
        <f>'príjmy '!C106+'príjmy '!C107</f>
        <v>88708.01</v>
      </c>
    </row>
    <row r="31" spans="1:3" ht="18" x14ac:dyDescent="0.25">
      <c r="A31" s="502" t="s">
        <v>590</v>
      </c>
      <c r="B31" s="347">
        <f t="shared" ref="B31:C31" si="9">B5</f>
        <v>31035116</v>
      </c>
      <c r="C31" s="540">
        <f t="shared" si="9"/>
        <v>9565983.6600000001</v>
      </c>
    </row>
    <row r="32" spans="1:3" ht="18" x14ac:dyDescent="0.25">
      <c r="A32" s="502" t="s">
        <v>591</v>
      </c>
      <c r="B32" s="347">
        <f t="shared" ref="B32:C32" si="10">B9</f>
        <v>8332029</v>
      </c>
      <c r="C32" s="540">
        <f t="shared" si="10"/>
        <v>1728855.25</v>
      </c>
    </row>
    <row r="33" spans="1:15" ht="18.75" thickBot="1" x14ac:dyDescent="0.3">
      <c r="A33" s="503" t="s">
        <v>592</v>
      </c>
      <c r="B33" s="348">
        <f t="shared" ref="B33:C33" si="11">B13</f>
        <v>1313350</v>
      </c>
      <c r="C33" s="541">
        <f t="shared" si="11"/>
        <v>319493.66000000003</v>
      </c>
    </row>
    <row r="34" spans="1:15" ht="13.5" thickBot="1" x14ac:dyDescent="0.25">
      <c r="A34" s="683"/>
    </row>
    <row r="35" spans="1:15" ht="51.75" customHeight="1" thickBot="1" x14ac:dyDescent="0.3">
      <c r="A35" s="684"/>
      <c r="B35" s="337" t="s">
        <v>626</v>
      </c>
      <c r="C35" s="406" t="s">
        <v>629</v>
      </c>
    </row>
    <row r="36" spans="1:15" ht="18" x14ac:dyDescent="0.25">
      <c r="A36" s="504" t="s">
        <v>436</v>
      </c>
      <c r="B36" s="656">
        <f t="shared" ref="B36:C36" si="12">B26+B27+B28+B29+B30</f>
        <v>40680495</v>
      </c>
      <c r="C36" s="542">
        <f t="shared" si="12"/>
        <v>13058043.189999998</v>
      </c>
    </row>
    <row r="37" spans="1:15" ht="18" x14ac:dyDescent="0.25">
      <c r="A37" s="505" t="s">
        <v>437</v>
      </c>
      <c r="B37" s="657">
        <f t="shared" ref="B37:C37" si="13">B31+B32+B33</f>
        <v>40680495</v>
      </c>
      <c r="C37" s="543">
        <f t="shared" si="13"/>
        <v>11614332.57</v>
      </c>
    </row>
    <row r="38" spans="1:15" ht="18.75" thickBot="1" x14ac:dyDescent="0.3">
      <c r="A38" s="506" t="s">
        <v>379</v>
      </c>
      <c r="B38" s="658">
        <f t="shared" ref="B38:C38" si="14">B36-B37</f>
        <v>0</v>
      </c>
      <c r="C38" s="544">
        <f t="shared" si="14"/>
        <v>1443710.6199999973</v>
      </c>
      <c r="E38" s="349"/>
      <c r="F38" s="349"/>
      <c r="G38" s="349"/>
      <c r="H38" s="349"/>
      <c r="I38" s="349"/>
      <c r="J38" s="349"/>
      <c r="K38" s="349"/>
    </row>
    <row r="42" spans="1:15" x14ac:dyDescent="0.2">
      <c r="O42" s="102"/>
    </row>
    <row r="49" ht="58.5" customHeight="1" x14ac:dyDescent="0.2"/>
  </sheetData>
  <sheetProtection selectLockedCells="1" selectUnlockedCells="1"/>
  <mergeCells count="2">
    <mergeCell ref="A34:A35"/>
    <mergeCell ref="A1:C1"/>
  </mergeCells>
  <phoneticPr fontId="0" type="noConversion"/>
  <pageMargins left="0" right="0" top="0" bottom="0" header="0.51181102362204722" footer="0.51181102362204722"/>
  <pageSetup paperSize="9" scale="41" firstPageNumber="0" fitToHeight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zoomScaleNormal="100" workbookViewId="0">
      <selection sqref="A1:D1"/>
    </sheetView>
  </sheetViews>
  <sheetFormatPr defaultRowHeight="15" x14ac:dyDescent="0.25"/>
  <cols>
    <col min="1" max="1" width="11.7109375" bestFit="1" customWidth="1"/>
    <col min="2" max="2" width="51.85546875" bestFit="1" customWidth="1"/>
    <col min="3" max="3" width="17.5703125" style="1" bestFit="1" customWidth="1"/>
    <col min="4" max="4" width="16.7109375" customWidth="1"/>
    <col min="7" max="7" width="9.85546875" bestFit="1" customWidth="1"/>
  </cols>
  <sheetData>
    <row r="1" spans="1:4" ht="16.5" thickBot="1" x14ac:dyDescent="0.3">
      <c r="A1" s="713" t="s">
        <v>632</v>
      </c>
      <c r="B1" s="713"/>
      <c r="C1" s="713"/>
      <c r="D1" s="713"/>
    </row>
    <row r="2" spans="1:4" s="554" customFormat="1" ht="34.5" customHeight="1" thickBot="1" x14ac:dyDescent="0.35">
      <c r="A2" s="550" t="s">
        <v>579</v>
      </c>
      <c r="B2" s="551" t="s">
        <v>381</v>
      </c>
      <c r="C2" s="552" t="s">
        <v>630</v>
      </c>
      <c r="D2" s="553" t="s">
        <v>631</v>
      </c>
    </row>
    <row r="3" spans="1:4" ht="15.75" x14ac:dyDescent="0.25">
      <c r="A3" s="514" t="s">
        <v>438</v>
      </c>
      <c r="B3" s="547" t="s">
        <v>442</v>
      </c>
      <c r="C3" s="560">
        <f>50000+2700</f>
        <v>52700</v>
      </c>
      <c r="D3" s="558">
        <v>8673.64</v>
      </c>
    </row>
    <row r="4" spans="1:4" ht="15.75" x14ac:dyDescent="0.25">
      <c r="A4" s="659" t="s">
        <v>669</v>
      </c>
      <c r="B4" s="547" t="s">
        <v>670</v>
      </c>
      <c r="C4" s="560"/>
      <c r="D4" s="558"/>
    </row>
    <row r="5" spans="1:4" ht="15.75" x14ac:dyDescent="0.25">
      <c r="A5" s="711" t="s">
        <v>552</v>
      </c>
      <c r="B5" s="547" t="s">
        <v>639</v>
      </c>
      <c r="C5" s="560">
        <v>2700</v>
      </c>
      <c r="D5" s="558">
        <v>2705</v>
      </c>
    </row>
    <row r="6" spans="1:4" ht="15.75" x14ac:dyDescent="0.25">
      <c r="A6" s="714"/>
      <c r="B6" s="548" t="s">
        <v>439</v>
      </c>
      <c r="C6" s="560">
        <v>115000</v>
      </c>
      <c r="D6" s="559"/>
    </row>
    <row r="7" spans="1:4" ht="15.75" x14ac:dyDescent="0.25">
      <c r="A7" s="659" t="s">
        <v>667</v>
      </c>
      <c r="B7" s="548" t="s">
        <v>668</v>
      </c>
      <c r="C7" s="560">
        <v>6500</v>
      </c>
      <c r="D7" s="559">
        <v>6472.64</v>
      </c>
    </row>
    <row r="8" spans="1:4" ht="15.75" x14ac:dyDescent="0.25">
      <c r="A8" s="711" t="s">
        <v>642</v>
      </c>
      <c r="B8" s="548" t="s">
        <v>547</v>
      </c>
      <c r="C8" s="560">
        <v>227000</v>
      </c>
      <c r="D8" s="559">
        <v>75633.320000000007</v>
      </c>
    </row>
    <row r="9" spans="1:4" ht="15.75" x14ac:dyDescent="0.25">
      <c r="A9" s="712"/>
      <c r="B9" s="548" t="s">
        <v>641</v>
      </c>
      <c r="C9" s="560">
        <v>10000</v>
      </c>
      <c r="D9" s="559"/>
    </row>
    <row r="10" spans="1:4" ht="15.75" x14ac:dyDescent="0.25">
      <c r="A10" s="712"/>
      <c r="B10" s="548" t="s">
        <v>547</v>
      </c>
      <c r="C10" s="560">
        <v>2400000</v>
      </c>
      <c r="D10" s="559"/>
    </row>
    <row r="11" spans="1:4" ht="15.75" x14ac:dyDescent="0.25">
      <c r="A11" s="712"/>
      <c r="B11" s="548" t="s">
        <v>665</v>
      </c>
      <c r="C11" s="560">
        <v>184000</v>
      </c>
      <c r="D11" s="559">
        <v>183754.82</v>
      </c>
    </row>
    <row r="12" spans="1:4" ht="15.75" x14ac:dyDescent="0.25">
      <c r="A12" s="714"/>
      <c r="B12" s="548" t="s">
        <v>640</v>
      </c>
      <c r="C12" s="560">
        <v>20000</v>
      </c>
      <c r="D12" s="559"/>
    </row>
    <row r="13" spans="1:4" ht="15.75" x14ac:dyDescent="0.25">
      <c r="A13" s="711" t="s">
        <v>619</v>
      </c>
      <c r="B13" s="548" t="s">
        <v>663</v>
      </c>
      <c r="C13" s="560">
        <v>221000</v>
      </c>
      <c r="D13" s="559"/>
    </row>
    <row r="14" spans="1:4" ht="15.75" x14ac:dyDescent="0.25">
      <c r="A14" s="712"/>
      <c r="B14" s="548" t="s">
        <v>657</v>
      </c>
      <c r="C14" s="560">
        <v>118000</v>
      </c>
      <c r="D14" s="559"/>
    </row>
    <row r="15" spans="1:4" ht="15.75" x14ac:dyDescent="0.25">
      <c r="A15" s="712"/>
      <c r="B15" s="548" t="s">
        <v>658</v>
      </c>
      <c r="C15" s="560">
        <f>13145+13012</f>
        <v>26157</v>
      </c>
      <c r="D15" s="559">
        <v>13012</v>
      </c>
    </row>
    <row r="16" spans="1:4" ht="15.75" x14ac:dyDescent="0.25">
      <c r="A16" s="712"/>
      <c r="B16" s="548" t="s">
        <v>659</v>
      </c>
      <c r="C16" s="560">
        <v>58000</v>
      </c>
      <c r="D16" s="559"/>
    </row>
    <row r="17" spans="1:4" ht="15.75" x14ac:dyDescent="0.25">
      <c r="A17" s="712"/>
      <c r="B17" s="548" t="s">
        <v>660</v>
      </c>
      <c r="C17" s="560">
        <v>241000</v>
      </c>
      <c r="D17" s="559"/>
    </row>
    <row r="18" spans="1:4" ht="15.75" x14ac:dyDescent="0.25">
      <c r="A18" s="712"/>
      <c r="B18" s="548" t="s">
        <v>661</v>
      </c>
      <c r="C18" s="560">
        <v>284000</v>
      </c>
      <c r="D18" s="559"/>
    </row>
    <row r="19" spans="1:4" ht="15.75" x14ac:dyDescent="0.25">
      <c r="A19" s="712"/>
      <c r="B19" s="548" t="s">
        <v>643</v>
      </c>
      <c r="C19" s="560">
        <v>133000</v>
      </c>
      <c r="D19" s="559">
        <v>92000</v>
      </c>
    </row>
    <row r="20" spans="1:4" ht="15.75" x14ac:dyDescent="0.25">
      <c r="A20" s="712"/>
      <c r="B20" s="548" t="s">
        <v>623</v>
      </c>
      <c r="C20" s="560">
        <v>395000</v>
      </c>
      <c r="D20" s="559"/>
    </row>
    <row r="21" spans="1:4" ht="15.75" x14ac:dyDescent="0.25">
      <c r="A21" s="712"/>
      <c r="B21" s="548" t="s">
        <v>664</v>
      </c>
      <c r="C21" s="560">
        <v>53000</v>
      </c>
      <c r="D21" s="559"/>
    </row>
    <row r="22" spans="1:4" ht="15.75" x14ac:dyDescent="0.25">
      <c r="A22" s="712"/>
      <c r="B22" s="548" t="s">
        <v>644</v>
      </c>
      <c r="C22" s="560">
        <v>0</v>
      </c>
      <c r="D22" s="559"/>
    </row>
    <row r="23" spans="1:4" ht="15.75" x14ac:dyDescent="0.25">
      <c r="A23" s="714"/>
      <c r="B23" s="549" t="s">
        <v>602</v>
      </c>
      <c r="C23" s="560">
        <f>40000-13012</f>
        <v>26988</v>
      </c>
      <c r="D23" s="559"/>
    </row>
    <row r="24" spans="1:4" ht="15.75" x14ac:dyDescent="0.25">
      <c r="A24" s="711" t="s">
        <v>645</v>
      </c>
      <c r="B24" s="549" t="s">
        <v>666</v>
      </c>
      <c r="C24" s="560">
        <v>5690</v>
      </c>
      <c r="D24" s="559"/>
    </row>
    <row r="25" spans="1:4" ht="15.75" x14ac:dyDescent="0.25">
      <c r="A25" s="714"/>
      <c r="B25" s="549" t="s">
        <v>646</v>
      </c>
      <c r="C25" s="560">
        <v>550000</v>
      </c>
      <c r="D25" s="559"/>
    </row>
    <row r="26" spans="1:4" ht="15.75" x14ac:dyDescent="0.25">
      <c r="A26" s="711" t="s">
        <v>604</v>
      </c>
      <c r="B26" s="549" t="s">
        <v>618</v>
      </c>
      <c r="C26" s="560">
        <f>27900+9750</f>
        <v>37650</v>
      </c>
      <c r="D26" s="559"/>
    </row>
    <row r="27" spans="1:4" ht="15.75" x14ac:dyDescent="0.25">
      <c r="A27" s="712"/>
      <c r="B27" s="549" t="s">
        <v>574</v>
      </c>
      <c r="C27" s="560">
        <v>246600</v>
      </c>
      <c r="D27" s="559">
        <v>246591.92</v>
      </c>
    </row>
    <row r="28" spans="1:4" ht="15.75" x14ac:dyDescent="0.25">
      <c r="A28" s="712"/>
      <c r="B28" s="549" t="s">
        <v>617</v>
      </c>
      <c r="C28" s="560">
        <v>39644</v>
      </c>
      <c r="D28" s="559"/>
    </row>
    <row r="29" spans="1:4" ht="15.75" x14ac:dyDescent="0.25">
      <c r="A29" s="714"/>
      <c r="B29" s="549" t="s">
        <v>647</v>
      </c>
      <c r="C29" s="560">
        <v>400000</v>
      </c>
      <c r="D29" s="559"/>
    </row>
    <row r="30" spans="1:4" ht="15.75" x14ac:dyDescent="0.25">
      <c r="A30" s="711" t="s">
        <v>610</v>
      </c>
      <c r="B30" s="549" t="s">
        <v>648</v>
      </c>
      <c r="C30" s="560">
        <v>530000</v>
      </c>
      <c r="D30" s="559"/>
    </row>
    <row r="31" spans="1:4" ht="15.75" x14ac:dyDescent="0.25">
      <c r="A31" s="714"/>
      <c r="B31" s="548" t="s">
        <v>611</v>
      </c>
      <c r="C31" s="560">
        <v>22730</v>
      </c>
      <c r="D31" s="559"/>
    </row>
    <row r="32" spans="1:4" ht="15.75" x14ac:dyDescent="0.25">
      <c r="A32" s="711" t="s">
        <v>594</v>
      </c>
      <c r="B32" s="548" t="s">
        <v>638</v>
      </c>
      <c r="C32" s="560">
        <v>1617000</v>
      </c>
      <c r="D32" s="559">
        <v>991971.17</v>
      </c>
    </row>
    <row r="33" spans="1:7" ht="15.75" x14ac:dyDescent="0.25">
      <c r="A33" s="712"/>
      <c r="B33" s="548" t="s">
        <v>671</v>
      </c>
      <c r="C33" s="560"/>
      <c r="D33" s="559"/>
    </row>
    <row r="34" spans="1:7" ht="15.75" x14ac:dyDescent="0.25">
      <c r="A34" s="714"/>
      <c r="B34" s="548" t="s">
        <v>530</v>
      </c>
      <c r="C34" s="560">
        <v>10000</v>
      </c>
      <c r="D34" s="559">
        <v>5928.6</v>
      </c>
    </row>
    <row r="35" spans="1:7" ht="15.75" x14ac:dyDescent="0.25">
      <c r="A35" s="711" t="s">
        <v>609</v>
      </c>
      <c r="B35" s="603" t="s">
        <v>440</v>
      </c>
      <c r="C35" s="560">
        <f>36420-9750</f>
        <v>26670</v>
      </c>
      <c r="D35" s="559"/>
    </row>
    <row r="36" spans="1:7" ht="16.5" thickBot="1" x14ac:dyDescent="0.3">
      <c r="A36" s="810"/>
      <c r="B36" s="811" t="s">
        <v>624</v>
      </c>
      <c r="C36" s="812">
        <v>272000</v>
      </c>
      <c r="D36" s="813">
        <v>102112.14</v>
      </c>
    </row>
    <row r="37" spans="1:7" s="353" customFormat="1" ht="19.5" thickBot="1" x14ac:dyDescent="0.35">
      <c r="A37" s="555"/>
      <c r="B37" s="556" t="s">
        <v>441</v>
      </c>
      <c r="C37" s="557">
        <f>SUM(C3:C36)</f>
        <v>8332029</v>
      </c>
      <c r="D37" s="814">
        <f>SUM(D3:D36)</f>
        <v>1728855.2500000002</v>
      </c>
      <c r="G37"/>
    </row>
    <row r="38" spans="1:7" x14ac:dyDescent="0.25">
      <c r="D38" s="682"/>
    </row>
    <row r="44" spans="1:7" s="350" customFormat="1" ht="15.75" x14ac:dyDescent="0.25">
      <c r="C44" s="515"/>
    </row>
  </sheetData>
  <mergeCells count="9">
    <mergeCell ref="A35:A36"/>
    <mergeCell ref="A1:D1"/>
    <mergeCell ref="A8:A12"/>
    <mergeCell ref="A5:A6"/>
    <mergeCell ref="A26:A29"/>
    <mergeCell ref="A30:A31"/>
    <mergeCell ref="A32:A34"/>
    <mergeCell ref="A13:A23"/>
    <mergeCell ref="A24:A25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zoomScale="93" zoomScaleNormal="93" workbookViewId="0">
      <selection sqref="A1:W1"/>
    </sheetView>
  </sheetViews>
  <sheetFormatPr defaultRowHeight="15" x14ac:dyDescent="0.25"/>
  <cols>
    <col min="1" max="1" width="9.140625" style="466"/>
    <col min="2" max="2" width="23.42578125" style="466" bestFit="1" customWidth="1"/>
    <col min="3" max="3" width="11.42578125" style="466" bestFit="1" customWidth="1"/>
    <col min="4" max="4" width="11.28515625" style="466" bestFit="1" customWidth="1"/>
    <col min="5" max="5" width="10.42578125" style="466" customWidth="1"/>
    <col min="6" max="9" width="10" style="466" customWidth="1"/>
    <col min="10" max="10" width="11.42578125" style="466" bestFit="1" customWidth="1"/>
    <col min="11" max="11" width="15.28515625" style="466" customWidth="1"/>
    <col min="12" max="12" width="9.42578125" style="466" customWidth="1"/>
    <col min="13" max="13" width="10.140625" style="466" bestFit="1" customWidth="1"/>
    <col min="14" max="14" width="17" style="466" bestFit="1" customWidth="1"/>
    <col min="15" max="16" width="14.28515625" style="466" bestFit="1" customWidth="1"/>
    <col min="17" max="18" width="12.7109375" style="466" bestFit="1" customWidth="1"/>
    <col min="19" max="19" width="11.85546875" style="466" customWidth="1"/>
    <col min="20" max="20" width="11" style="466" customWidth="1"/>
    <col min="21" max="21" width="10.42578125" style="466" customWidth="1"/>
    <col min="22" max="22" width="13.7109375" style="466" customWidth="1"/>
    <col min="23" max="23" width="13.5703125" style="466" customWidth="1"/>
    <col min="24" max="24" width="9.140625" style="466"/>
  </cols>
  <sheetData>
    <row r="1" spans="1:23" ht="16.5" customHeight="1" thickBot="1" x14ac:dyDescent="0.3">
      <c r="A1" s="741" t="s">
        <v>548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W1" s="742"/>
    </row>
    <row r="2" spans="1:23" ht="15" customHeight="1" thickBot="1" x14ac:dyDescent="0.3">
      <c r="A2" s="774" t="s">
        <v>459</v>
      </c>
      <c r="B2" s="777" t="s">
        <v>460</v>
      </c>
      <c r="C2" s="768" t="s">
        <v>378</v>
      </c>
      <c r="D2" s="769"/>
      <c r="E2" s="769"/>
      <c r="F2" s="769"/>
      <c r="G2" s="769"/>
      <c r="H2" s="769"/>
      <c r="I2" s="769"/>
      <c r="J2" s="769"/>
      <c r="K2" s="770"/>
      <c r="L2" s="565"/>
      <c r="M2" s="530"/>
      <c r="N2" s="752" t="s">
        <v>462</v>
      </c>
      <c r="O2" s="759" t="s">
        <v>549</v>
      </c>
      <c r="P2" s="760"/>
      <c r="Q2" s="760"/>
      <c r="R2" s="761"/>
      <c r="S2" s="746" t="s">
        <v>550</v>
      </c>
      <c r="T2" s="747"/>
      <c r="U2" s="747"/>
      <c r="V2" s="747"/>
      <c r="W2" s="748"/>
    </row>
    <row r="3" spans="1:23" ht="24.75" customHeight="1" x14ac:dyDescent="0.25">
      <c r="A3" s="775"/>
      <c r="B3" s="778"/>
      <c r="C3" s="730" t="s">
        <v>463</v>
      </c>
      <c r="D3" s="731"/>
      <c r="E3" s="732"/>
      <c r="F3" s="733" t="s">
        <v>464</v>
      </c>
      <c r="G3" s="734"/>
      <c r="H3" s="735"/>
      <c r="I3" s="727" t="s">
        <v>534</v>
      </c>
      <c r="J3" s="736" t="s">
        <v>465</v>
      </c>
      <c r="K3" s="532" t="s">
        <v>466</v>
      </c>
      <c r="L3" s="771" t="s">
        <v>608</v>
      </c>
      <c r="M3" s="719" t="s">
        <v>461</v>
      </c>
      <c r="N3" s="753"/>
      <c r="O3" s="762"/>
      <c r="P3" s="763"/>
      <c r="Q3" s="763"/>
      <c r="R3" s="764"/>
      <c r="S3" s="749"/>
      <c r="T3" s="750"/>
      <c r="U3" s="750"/>
      <c r="V3" s="750"/>
      <c r="W3" s="751"/>
    </row>
    <row r="4" spans="1:23" ht="15.75" thickBot="1" x14ac:dyDescent="0.3">
      <c r="A4" s="775"/>
      <c r="B4" s="778"/>
      <c r="C4" s="815" t="s">
        <v>395</v>
      </c>
      <c r="D4" s="755" t="s">
        <v>467</v>
      </c>
      <c r="E4" s="756"/>
      <c r="F4" s="757" t="s">
        <v>468</v>
      </c>
      <c r="G4" s="725" t="s">
        <v>469</v>
      </c>
      <c r="H4" s="724" t="s">
        <v>533</v>
      </c>
      <c r="I4" s="728"/>
      <c r="J4" s="737"/>
      <c r="K4" s="780" t="s">
        <v>470</v>
      </c>
      <c r="L4" s="772"/>
      <c r="M4" s="720"/>
      <c r="N4" s="753"/>
      <c r="O4" s="762"/>
      <c r="P4" s="763"/>
      <c r="Q4" s="763"/>
      <c r="R4" s="764"/>
      <c r="S4" s="743"/>
      <c r="T4" s="744"/>
      <c r="U4" s="744"/>
      <c r="V4" s="744"/>
      <c r="W4" s="745"/>
    </row>
    <row r="5" spans="1:23" ht="43.5" customHeight="1" x14ac:dyDescent="0.25">
      <c r="A5" s="775"/>
      <c r="B5" s="778"/>
      <c r="C5" s="739"/>
      <c r="D5" s="783" t="s">
        <v>471</v>
      </c>
      <c r="E5" s="785" t="s">
        <v>472</v>
      </c>
      <c r="F5" s="757"/>
      <c r="G5" s="725"/>
      <c r="H5" s="725"/>
      <c r="I5" s="728"/>
      <c r="J5" s="737"/>
      <c r="K5" s="781"/>
      <c r="L5" s="772"/>
      <c r="M5" s="720"/>
      <c r="N5" s="753"/>
      <c r="O5" s="458" t="s">
        <v>135</v>
      </c>
      <c r="P5" s="765" t="s">
        <v>650</v>
      </c>
      <c r="Q5" s="766"/>
      <c r="R5" s="767"/>
      <c r="S5" s="467" t="s">
        <v>570</v>
      </c>
      <c r="T5" s="468" t="s">
        <v>571</v>
      </c>
      <c r="U5" s="469" t="s">
        <v>539</v>
      </c>
      <c r="V5" s="570"/>
      <c r="W5" s="570" t="s">
        <v>540</v>
      </c>
    </row>
    <row r="6" spans="1:23" ht="15" customHeight="1" thickBot="1" x14ac:dyDescent="0.3">
      <c r="A6" s="776"/>
      <c r="B6" s="779"/>
      <c r="C6" s="740"/>
      <c r="D6" s="784"/>
      <c r="E6" s="786"/>
      <c r="F6" s="758"/>
      <c r="G6" s="726"/>
      <c r="H6" s="726"/>
      <c r="I6" s="729"/>
      <c r="J6" s="738"/>
      <c r="K6" s="782"/>
      <c r="L6" s="773"/>
      <c r="M6" s="721"/>
      <c r="N6" s="754"/>
      <c r="O6" s="457" t="s">
        <v>649</v>
      </c>
      <c r="P6" s="461" t="s">
        <v>141</v>
      </c>
      <c r="Q6" s="453" t="s">
        <v>142</v>
      </c>
      <c r="R6" s="462" t="s">
        <v>544</v>
      </c>
      <c r="S6" s="743" t="s">
        <v>141</v>
      </c>
      <c r="T6" s="744"/>
      <c r="U6" s="745"/>
      <c r="V6" s="470" t="s">
        <v>545</v>
      </c>
      <c r="W6" s="471" t="s">
        <v>546</v>
      </c>
    </row>
    <row r="7" spans="1:23" ht="15.75" thickBot="1" x14ac:dyDescent="0.3">
      <c r="A7" s="423" t="s">
        <v>473</v>
      </c>
      <c r="B7" s="489"/>
      <c r="C7" s="439">
        <f>C9+C18+C25+C52</f>
        <v>11611641</v>
      </c>
      <c r="D7" s="424">
        <f>D18+D52+D9+D25</f>
        <v>10207266</v>
      </c>
      <c r="E7" s="440">
        <f>E9+E18+E25+E52</f>
        <v>1404375</v>
      </c>
      <c r="F7" s="439">
        <f>F9+F18+F25+F8+F52</f>
        <v>2633845</v>
      </c>
      <c r="G7" s="424">
        <f>G9+G18+G25+G52</f>
        <v>1173562</v>
      </c>
      <c r="H7" s="561">
        <f>H9+H18+H52</f>
        <v>596870</v>
      </c>
      <c r="I7" s="440">
        <f>I9+I18+I52</f>
        <v>800000</v>
      </c>
      <c r="J7" s="526">
        <f>J9+J18+J25+J52+J8</f>
        <v>16815918</v>
      </c>
      <c r="K7" s="526">
        <f>K9+K18+K25</f>
        <v>12660722</v>
      </c>
      <c r="L7" s="566">
        <f>L9+L18+L25</f>
        <v>0</v>
      </c>
      <c r="M7" s="440">
        <f>M9+M18+M25+M52</f>
        <v>1556145</v>
      </c>
      <c r="N7" s="431">
        <f>N9+N18+N25+N52+N8</f>
        <v>18372063</v>
      </c>
      <c r="O7" s="419">
        <f>O9+O18+O25+O29+O51+O52+O53</f>
        <v>16939951</v>
      </c>
      <c r="P7" s="425">
        <f>P9+P18+P25+P29+P51+P53</f>
        <v>16275794</v>
      </c>
      <c r="Q7" s="426">
        <f>Q9+Q18+Q25+Q29+Q51</f>
        <v>664157</v>
      </c>
      <c r="R7" s="459"/>
      <c r="S7" s="425">
        <f>S9+S18+S25</f>
        <v>765430</v>
      </c>
      <c r="T7" s="426">
        <f>T9+T18+T25</f>
        <v>204300</v>
      </c>
      <c r="U7" s="459">
        <f>U9+U18+U25</f>
        <v>529920</v>
      </c>
      <c r="V7" s="459">
        <f>V9+V18+V25</f>
        <v>497000</v>
      </c>
      <c r="W7" s="419">
        <f>W9+W18+W25</f>
        <v>69777</v>
      </c>
    </row>
    <row r="8" spans="1:23" ht="15.75" thickBot="1" x14ac:dyDescent="0.3">
      <c r="A8" s="421" t="s">
        <v>474</v>
      </c>
      <c r="B8" s="490" t="s">
        <v>475</v>
      </c>
      <c r="C8" s="498"/>
      <c r="D8" s="422"/>
      <c r="E8" s="519"/>
      <c r="F8" s="516">
        <v>6000</v>
      </c>
      <c r="G8" s="536"/>
      <c r="H8" s="535"/>
      <c r="I8" s="517"/>
      <c r="J8" s="816">
        <f>F8</f>
        <v>6000</v>
      </c>
      <c r="K8" s="533"/>
      <c r="L8" s="567"/>
      <c r="M8" s="534"/>
      <c r="N8" s="432">
        <f>J8</f>
        <v>6000</v>
      </c>
      <c r="O8" s="817"/>
      <c r="P8" s="818"/>
      <c r="Q8" s="819"/>
      <c r="R8" s="820"/>
      <c r="S8" s="472"/>
      <c r="T8" s="473"/>
      <c r="U8" s="474"/>
      <c r="V8" s="475"/>
      <c r="W8" s="475"/>
    </row>
    <row r="9" spans="1:23" ht="15.75" thickBot="1" x14ac:dyDescent="0.3">
      <c r="A9" s="386" t="s">
        <v>476</v>
      </c>
      <c r="B9" s="491" t="s">
        <v>477</v>
      </c>
      <c r="C9" s="441">
        <f>C10+C11+C12+C13+C14+C15+C16+C17</f>
        <v>2855718</v>
      </c>
      <c r="D9" s="441">
        <f>D10+D11+D12+D13+D14+D15+D16+D17</f>
        <v>2619525</v>
      </c>
      <c r="E9" s="520">
        <f t="shared" ref="E9:Q9" si="0">E10+E11+E12+E13+E14+E15+E16+E17</f>
        <v>236193</v>
      </c>
      <c r="F9" s="441">
        <f>F10+F11+F12+F13+F14+F15+F16+F17</f>
        <v>417736</v>
      </c>
      <c r="G9" s="563">
        <f t="shared" si="0"/>
        <v>234867</v>
      </c>
      <c r="H9" s="562">
        <f t="shared" si="0"/>
        <v>236254</v>
      </c>
      <c r="I9" s="442">
        <f t="shared" si="0"/>
        <v>74470</v>
      </c>
      <c r="J9" s="520">
        <f>J10+J11+J12+J13+J14+J15+J16+J17</f>
        <v>3819045</v>
      </c>
      <c r="K9" s="521">
        <f>K10+K11+K12+K13+K14+K15+K16+K17</f>
        <v>3037261</v>
      </c>
      <c r="L9" s="521">
        <f>SUM(L10:L17)</f>
        <v>0</v>
      </c>
      <c r="M9" s="442">
        <f t="shared" si="0"/>
        <v>423157</v>
      </c>
      <c r="N9" s="433">
        <f t="shared" si="0"/>
        <v>4242202</v>
      </c>
      <c r="O9" s="420">
        <f t="shared" si="0"/>
        <v>3058273</v>
      </c>
      <c r="P9" s="387">
        <f t="shared" si="0"/>
        <v>3037261</v>
      </c>
      <c r="Q9" s="388">
        <f t="shared" si="0"/>
        <v>21012</v>
      </c>
      <c r="R9" s="460"/>
      <c r="S9" s="387">
        <f>SUM(S10:S17)</f>
        <v>174000</v>
      </c>
      <c r="T9" s="388">
        <f>SUM(T10:T17)</f>
        <v>0</v>
      </c>
      <c r="U9" s="460">
        <f>SUM(U10:U17)</f>
        <v>225920</v>
      </c>
      <c r="V9" s="460">
        <f>SUM(V10:V17)</f>
        <v>213000</v>
      </c>
      <c r="W9" s="420">
        <f>SUM(W10:W17)</f>
        <v>23346</v>
      </c>
    </row>
    <row r="10" spans="1:23" x14ac:dyDescent="0.25">
      <c r="A10" s="573" t="s">
        <v>478</v>
      </c>
      <c r="B10" s="574" t="s">
        <v>479</v>
      </c>
      <c r="C10" s="606">
        <f>E10+D10</f>
        <v>324909</v>
      </c>
      <c r="D10" s="607">
        <f>297262+3687</f>
        <v>300949</v>
      </c>
      <c r="E10" s="608">
        <v>23960</v>
      </c>
      <c r="F10" s="446">
        <v>50231</v>
      </c>
      <c r="G10" s="390">
        <f>18100+2400</f>
        <v>20500</v>
      </c>
      <c r="H10" s="389">
        <v>23040</v>
      </c>
      <c r="I10" s="609">
        <v>8500</v>
      </c>
      <c r="J10" s="527">
        <f>C10+F10+G10+H10+I10</f>
        <v>427180</v>
      </c>
      <c r="K10" s="610">
        <f>F10+D10</f>
        <v>351180</v>
      </c>
      <c r="L10" s="611"/>
      <c r="M10" s="608"/>
      <c r="N10" s="390">
        <f t="shared" ref="N10:N17" si="1">J10+M10</f>
        <v>427180</v>
      </c>
      <c r="O10" s="821">
        <f>P10+Q10</f>
        <v>351180</v>
      </c>
      <c r="P10" s="822">
        <f t="shared" ref="P10:P16" si="2">K10</f>
        <v>351180</v>
      </c>
      <c r="Q10" s="823"/>
      <c r="R10" s="824"/>
      <c r="S10" s="577">
        <f>18100+2400</f>
        <v>20500</v>
      </c>
      <c r="T10" s="391"/>
      <c r="U10" s="393">
        <v>23000</v>
      </c>
      <c r="V10" s="576"/>
      <c r="W10" s="612">
        <v>40</v>
      </c>
    </row>
    <row r="11" spans="1:23" x14ac:dyDescent="0.25">
      <c r="A11" s="578" t="s">
        <v>480</v>
      </c>
      <c r="B11" s="579" t="s">
        <v>481</v>
      </c>
      <c r="C11" s="613">
        <f t="shared" ref="C11:C17" si="3">E11+D11</f>
        <v>441050</v>
      </c>
      <c r="D11" s="392">
        <f>383627+33463</f>
        <v>417090</v>
      </c>
      <c r="E11" s="444">
        <v>23960</v>
      </c>
      <c r="F11" s="443">
        <v>94160</v>
      </c>
      <c r="G11" s="434">
        <f>35700+15500-2000</f>
        <v>49200</v>
      </c>
      <c r="H11" s="389">
        <v>42645</v>
      </c>
      <c r="I11" s="609">
        <v>12350</v>
      </c>
      <c r="J11" s="527">
        <f t="shared" ref="J11:J16" si="4">C11+F11+G11+H11+I11</f>
        <v>639405</v>
      </c>
      <c r="K11" s="528">
        <f t="shared" ref="K11:K17" si="5">F11+D11</f>
        <v>511250</v>
      </c>
      <c r="L11" s="522"/>
      <c r="M11" s="444">
        <v>221000</v>
      </c>
      <c r="N11" s="390">
        <f t="shared" si="1"/>
        <v>860405</v>
      </c>
      <c r="O11" s="825">
        <f t="shared" ref="O11:O17" si="6">P11+Q11</f>
        <v>519250</v>
      </c>
      <c r="P11" s="826">
        <f>K11</f>
        <v>511250</v>
      </c>
      <c r="Q11" s="823">
        <v>8000</v>
      </c>
      <c r="R11" s="827"/>
      <c r="S11" s="614">
        <f>35700-2000</f>
        <v>33700</v>
      </c>
      <c r="T11" s="393"/>
      <c r="U11" s="393">
        <v>42340</v>
      </c>
      <c r="V11" s="580">
        <v>213000</v>
      </c>
      <c r="W11" s="615">
        <v>305</v>
      </c>
    </row>
    <row r="12" spans="1:23" x14ac:dyDescent="0.25">
      <c r="A12" s="578" t="s">
        <v>482</v>
      </c>
      <c r="B12" s="579" t="s">
        <v>483</v>
      </c>
      <c r="C12" s="613">
        <f t="shared" si="3"/>
        <v>813329</v>
      </c>
      <c r="D12" s="392">
        <f>712929+27347</f>
        <v>740276</v>
      </c>
      <c r="E12" s="444">
        <v>73053</v>
      </c>
      <c r="F12" s="443">
        <v>92436</v>
      </c>
      <c r="G12" s="434">
        <v>46300</v>
      </c>
      <c r="H12" s="389">
        <v>62427</v>
      </c>
      <c r="I12" s="609">
        <v>25050</v>
      </c>
      <c r="J12" s="527">
        <f t="shared" si="4"/>
        <v>1039542</v>
      </c>
      <c r="K12" s="528">
        <f t="shared" si="5"/>
        <v>832712</v>
      </c>
      <c r="L12" s="522"/>
      <c r="M12" s="444"/>
      <c r="N12" s="390">
        <f>J12+M12+L12</f>
        <v>1039542</v>
      </c>
      <c r="O12" s="825">
        <f t="shared" si="6"/>
        <v>832712</v>
      </c>
      <c r="P12" s="826">
        <f t="shared" si="2"/>
        <v>832712</v>
      </c>
      <c r="Q12" s="823"/>
      <c r="R12" s="827"/>
      <c r="S12" s="614">
        <v>46300</v>
      </c>
      <c r="T12" s="393"/>
      <c r="U12" s="393">
        <v>60200</v>
      </c>
      <c r="V12" s="580"/>
      <c r="W12" s="615">
        <v>2227</v>
      </c>
    </row>
    <row r="13" spans="1:23" x14ac:dyDescent="0.25">
      <c r="A13" s="578" t="s">
        <v>484</v>
      </c>
      <c r="B13" s="579" t="s">
        <v>485</v>
      </c>
      <c r="C13" s="613">
        <f t="shared" si="3"/>
        <v>0</v>
      </c>
      <c r="D13" s="392"/>
      <c r="E13" s="444">
        <v>0</v>
      </c>
      <c r="F13" s="443">
        <v>0</v>
      </c>
      <c r="G13" s="434">
        <v>0</v>
      </c>
      <c r="H13" s="389">
        <f t="shared" ref="H13" si="7">U13+W13</f>
        <v>0</v>
      </c>
      <c r="I13" s="609"/>
      <c r="J13" s="527">
        <f t="shared" si="4"/>
        <v>0</v>
      </c>
      <c r="K13" s="528">
        <f t="shared" si="5"/>
        <v>0</v>
      </c>
      <c r="L13" s="522"/>
      <c r="M13" s="444"/>
      <c r="N13" s="390">
        <f t="shared" si="1"/>
        <v>0</v>
      </c>
      <c r="O13" s="828">
        <f t="shared" si="6"/>
        <v>0</v>
      </c>
      <c r="P13" s="826">
        <f t="shared" si="2"/>
        <v>0</v>
      </c>
      <c r="Q13" s="823"/>
      <c r="R13" s="827"/>
      <c r="S13" s="614"/>
      <c r="T13" s="393"/>
      <c r="U13" s="393"/>
      <c r="V13" s="580"/>
      <c r="W13" s="615"/>
    </row>
    <row r="14" spans="1:23" x14ac:dyDescent="0.25">
      <c r="A14" s="578" t="s">
        <v>486</v>
      </c>
      <c r="B14" s="579" t="s">
        <v>487</v>
      </c>
      <c r="C14" s="613">
        <f t="shared" si="3"/>
        <v>387604</v>
      </c>
      <c r="D14" s="392">
        <f>342717+18261</f>
        <v>360978</v>
      </c>
      <c r="E14" s="444">
        <v>26626</v>
      </c>
      <c r="F14" s="443">
        <f>59239+6648</f>
        <v>65887</v>
      </c>
      <c r="G14" s="434">
        <v>24200</v>
      </c>
      <c r="H14" s="389">
        <v>29243</v>
      </c>
      <c r="I14" s="609">
        <v>9500</v>
      </c>
      <c r="J14" s="527">
        <f t="shared" si="4"/>
        <v>516434</v>
      </c>
      <c r="K14" s="528">
        <f t="shared" si="5"/>
        <v>426865</v>
      </c>
      <c r="L14" s="522"/>
      <c r="M14" s="444">
        <v>118000</v>
      </c>
      <c r="N14" s="390">
        <f>J14+M14</f>
        <v>634434</v>
      </c>
      <c r="O14" s="825">
        <f t="shared" si="6"/>
        <v>426865</v>
      </c>
      <c r="P14" s="826">
        <f t="shared" si="2"/>
        <v>426865</v>
      </c>
      <c r="Q14" s="823"/>
      <c r="R14" s="827"/>
      <c r="S14" s="614">
        <v>24200</v>
      </c>
      <c r="T14" s="393"/>
      <c r="U14" s="393">
        <v>29000</v>
      </c>
      <c r="V14" s="580"/>
      <c r="W14" s="615">
        <v>243</v>
      </c>
    </row>
    <row r="15" spans="1:23" x14ac:dyDescent="0.25">
      <c r="A15" s="578" t="s">
        <v>488</v>
      </c>
      <c r="B15" s="579" t="s">
        <v>489</v>
      </c>
      <c r="C15" s="613">
        <f t="shared" si="3"/>
        <v>441021</v>
      </c>
      <c r="D15" s="392">
        <f>367581+30388</f>
        <v>397969</v>
      </c>
      <c r="E15" s="444">
        <v>43052</v>
      </c>
      <c r="F15" s="443">
        <v>61068</v>
      </c>
      <c r="G15" s="434">
        <f>24800+45500-133</f>
        <v>70167</v>
      </c>
      <c r="H15" s="389">
        <v>41690</v>
      </c>
      <c r="I15" s="609">
        <v>8470</v>
      </c>
      <c r="J15" s="527">
        <f t="shared" si="4"/>
        <v>622416</v>
      </c>
      <c r="K15" s="528">
        <f t="shared" si="5"/>
        <v>459037</v>
      </c>
      <c r="L15" s="522"/>
      <c r="M15" s="444">
        <f>13012+133+13012</f>
        <v>26157</v>
      </c>
      <c r="N15" s="390">
        <f>J15+M15</f>
        <v>648573</v>
      </c>
      <c r="O15" s="825">
        <f t="shared" si="6"/>
        <v>472049</v>
      </c>
      <c r="P15" s="826">
        <f t="shared" si="2"/>
        <v>459037</v>
      </c>
      <c r="Q15" s="823">
        <v>13012</v>
      </c>
      <c r="R15" s="827"/>
      <c r="S15" s="614">
        <v>24800</v>
      </c>
      <c r="T15" s="393"/>
      <c r="U15" s="393">
        <f>33396+5604</f>
        <v>39000</v>
      </c>
      <c r="V15" s="580"/>
      <c r="W15" s="615">
        <f>2690+13012</f>
        <v>15702</v>
      </c>
    </row>
    <row r="16" spans="1:23" x14ac:dyDescent="0.25">
      <c r="A16" s="581" t="s">
        <v>490</v>
      </c>
      <c r="B16" s="582" t="s">
        <v>491</v>
      </c>
      <c r="C16" s="613">
        <f t="shared" si="3"/>
        <v>447805</v>
      </c>
      <c r="D16" s="394">
        <f>388837+13426</f>
        <v>402263</v>
      </c>
      <c r="E16" s="448">
        <v>45542</v>
      </c>
      <c r="F16" s="445">
        <v>53954</v>
      </c>
      <c r="G16" s="436">
        <f>22900+1600</f>
        <v>24500</v>
      </c>
      <c r="H16" s="389">
        <v>37209</v>
      </c>
      <c r="I16" s="616">
        <v>10600</v>
      </c>
      <c r="J16" s="527">
        <f t="shared" si="4"/>
        <v>574068</v>
      </c>
      <c r="K16" s="528">
        <f t="shared" si="5"/>
        <v>456217</v>
      </c>
      <c r="L16" s="523"/>
      <c r="M16" s="444">
        <v>58000</v>
      </c>
      <c r="N16" s="390">
        <f t="shared" si="1"/>
        <v>632068</v>
      </c>
      <c r="O16" s="825">
        <f t="shared" si="6"/>
        <v>456217</v>
      </c>
      <c r="P16" s="826">
        <f t="shared" si="2"/>
        <v>456217</v>
      </c>
      <c r="Q16" s="823"/>
      <c r="R16" s="827"/>
      <c r="S16" s="614">
        <f>22900+1600</f>
        <v>24500</v>
      </c>
      <c r="T16" s="393"/>
      <c r="U16" s="393">
        <v>32380</v>
      </c>
      <c r="V16" s="580"/>
      <c r="W16" s="615">
        <v>4829</v>
      </c>
    </row>
    <row r="17" spans="1:27" ht="15.75" thickBot="1" x14ac:dyDescent="0.3">
      <c r="A17" s="581" t="s">
        <v>492</v>
      </c>
      <c r="B17" s="582" t="s">
        <v>493</v>
      </c>
      <c r="C17" s="617">
        <f t="shared" si="3"/>
        <v>0</v>
      </c>
      <c r="D17" s="394"/>
      <c r="E17" s="448">
        <v>0</v>
      </c>
      <c r="F17" s="445">
        <v>0</v>
      </c>
      <c r="G17" s="618">
        <v>0</v>
      </c>
      <c r="H17" s="619"/>
      <c r="I17" s="620"/>
      <c r="J17" s="527">
        <f>C17+F17+G17+H17</f>
        <v>0</v>
      </c>
      <c r="K17" s="524">
        <f t="shared" si="5"/>
        <v>0</v>
      </c>
      <c r="L17" s="621"/>
      <c r="M17" s="622"/>
      <c r="N17" s="390">
        <f t="shared" si="1"/>
        <v>0</v>
      </c>
      <c r="O17" s="829">
        <f t="shared" si="6"/>
        <v>0</v>
      </c>
      <c r="P17" s="830"/>
      <c r="Q17" s="831"/>
      <c r="R17" s="832"/>
      <c r="S17" s="623"/>
      <c r="T17" s="624"/>
      <c r="U17" s="625"/>
      <c r="V17" s="626"/>
      <c r="W17" s="626"/>
    </row>
    <row r="18" spans="1:27" ht="15.75" thickBot="1" x14ac:dyDescent="0.3">
      <c r="A18" s="395" t="s">
        <v>494</v>
      </c>
      <c r="B18" s="492" t="s">
        <v>495</v>
      </c>
      <c r="C18" s="387">
        <f t="shared" ref="C18:K18" si="8">C19+C20+C21+C22+C23+C24</f>
        <v>8345423</v>
      </c>
      <c r="D18" s="388">
        <f t="shared" si="8"/>
        <v>7432798</v>
      </c>
      <c r="E18" s="627">
        <f t="shared" si="8"/>
        <v>912625</v>
      </c>
      <c r="F18" s="387">
        <f t="shared" si="8"/>
        <v>1104763</v>
      </c>
      <c r="G18" s="388">
        <f t="shared" si="8"/>
        <v>462125</v>
      </c>
      <c r="H18" s="628">
        <f t="shared" si="8"/>
        <v>340536</v>
      </c>
      <c r="I18" s="627">
        <f t="shared" si="8"/>
        <v>699770</v>
      </c>
      <c r="J18" s="420">
        <f>J19+J20+J21+J22+J23+J24</f>
        <v>10952617</v>
      </c>
      <c r="K18" s="460">
        <f t="shared" si="8"/>
        <v>8537561</v>
      </c>
      <c r="L18" s="460">
        <f>SUM(L19:L24)</f>
        <v>0</v>
      </c>
      <c r="M18" s="627">
        <f>M19+M20+M21+M22+M23+M24</f>
        <v>1053000</v>
      </c>
      <c r="N18" s="629">
        <f>N19+N20+N21+N22+N23+N24</f>
        <v>12005617</v>
      </c>
      <c r="O18" s="420">
        <f>O19+O20+O21+O22+O23+O24</f>
        <v>8670561</v>
      </c>
      <c r="P18" s="387">
        <f>P19+P20+P21+P22+P23+P24</f>
        <v>8537561</v>
      </c>
      <c r="Q18" s="388">
        <f>Q19+Q20+Q21+Q22+Q23+Q24</f>
        <v>133000</v>
      </c>
      <c r="R18" s="460"/>
      <c r="S18" s="387">
        <f>SUM(S19:S24)</f>
        <v>376430</v>
      </c>
      <c r="T18" s="388">
        <f>SUM(T19:T24)</f>
        <v>4300</v>
      </c>
      <c r="U18" s="460">
        <f>SUM(U19:U24)</f>
        <v>304000</v>
      </c>
      <c r="V18" s="460">
        <f>SUM(V19:V24)</f>
        <v>284000</v>
      </c>
      <c r="W18" s="420">
        <f>SUM(W19:W24)</f>
        <v>46431</v>
      </c>
    </row>
    <row r="19" spans="1:27" x14ac:dyDescent="0.25">
      <c r="A19" s="573" t="s">
        <v>496</v>
      </c>
      <c r="B19" s="574" t="s">
        <v>497</v>
      </c>
      <c r="C19" s="630">
        <f t="shared" ref="C19:C24" si="9">D19+E19</f>
        <v>811734</v>
      </c>
      <c r="D19" s="607">
        <f>723200-11169</f>
        <v>712031</v>
      </c>
      <c r="E19" s="676">
        <v>99703</v>
      </c>
      <c r="F19" s="446">
        <v>86789</v>
      </c>
      <c r="G19" s="609">
        <f>26030+11500</f>
        <v>37530</v>
      </c>
      <c r="H19" s="389">
        <f>43000+3034</f>
        <v>46034</v>
      </c>
      <c r="I19" s="609">
        <v>54000</v>
      </c>
      <c r="J19" s="527">
        <f t="shared" ref="J19:J24" si="10">C19+F19+G19+H19+I19</f>
        <v>1036087</v>
      </c>
      <c r="K19" s="524">
        <f t="shared" ref="K19:K23" si="11">D19+F19</f>
        <v>798820</v>
      </c>
      <c r="L19" s="524"/>
      <c r="M19" s="447"/>
      <c r="N19" s="390">
        <f t="shared" ref="N19:N24" si="12">J19+M19</f>
        <v>1036087</v>
      </c>
      <c r="O19" s="821">
        <f t="shared" ref="O19:O24" si="13">P19+Q19</f>
        <v>798820</v>
      </c>
      <c r="P19" s="822">
        <f t="shared" ref="P19:P24" si="14">K19</f>
        <v>798820</v>
      </c>
      <c r="Q19" s="833"/>
      <c r="R19" s="824"/>
      <c r="S19" s="577">
        <v>26030</v>
      </c>
      <c r="T19" s="391"/>
      <c r="U19" s="393">
        <v>43000</v>
      </c>
      <c r="V19" s="576"/>
      <c r="W19" s="615">
        <v>3034</v>
      </c>
    </row>
    <row r="20" spans="1:27" x14ac:dyDescent="0.25">
      <c r="A20" s="578" t="s">
        <v>498</v>
      </c>
      <c r="B20" s="579" t="s">
        <v>499</v>
      </c>
      <c r="C20" s="443">
        <f t="shared" si="9"/>
        <v>1227231</v>
      </c>
      <c r="D20" s="392">
        <v>1121123</v>
      </c>
      <c r="E20" s="616">
        <v>106108</v>
      </c>
      <c r="F20" s="443">
        <v>188397</v>
      </c>
      <c r="G20" s="616">
        <f>54200+1800+9895</f>
        <v>65895</v>
      </c>
      <c r="H20" s="389">
        <f>61000+7335</f>
        <v>68335</v>
      </c>
      <c r="I20" s="609">
        <v>136070</v>
      </c>
      <c r="J20" s="527">
        <f t="shared" si="10"/>
        <v>1685928</v>
      </c>
      <c r="K20" s="522">
        <f t="shared" si="11"/>
        <v>1309520</v>
      </c>
      <c r="L20" s="522"/>
      <c r="M20" s="444">
        <v>241000</v>
      </c>
      <c r="N20" s="390">
        <f t="shared" si="12"/>
        <v>1926928</v>
      </c>
      <c r="O20" s="825">
        <f t="shared" si="13"/>
        <v>1309520</v>
      </c>
      <c r="P20" s="826">
        <f t="shared" si="14"/>
        <v>1309520</v>
      </c>
      <c r="Q20" s="833"/>
      <c r="R20" s="824"/>
      <c r="S20" s="614">
        <v>54200</v>
      </c>
      <c r="T20" s="393">
        <v>1800</v>
      </c>
      <c r="U20" s="393">
        <v>61000</v>
      </c>
      <c r="V20" s="580"/>
      <c r="W20" s="615">
        <f>7335+9895</f>
        <v>17230</v>
      </c>
    </row>
    <row r="21" spans="1:27" x14ac:dyDescent="0.25">
      <c r="A21" s="578" t="s">
        <v>500</v>
      </c>
      <c r="B21" s="579" t="s">
        <v>501</v>
      </c>
      <c r="C21" s="443">
        <f t="shared" si="9"/>
        <v>2107730</v>
      </c>
      <c r="D21" s="392">
        <f>1844800+32933</f>
        <v>1877733</v>
      </c>
      <c r="E21" s="616">
        <v>229997</v>
      </c>
      <c r="F21" s="443">
        <f>285072+5000</f>
        <v>290072</v>
      </c>
      <c r="G21" s="616">
        <v>69600</v>
      </c>
      <c r="H21" s="389">
        <f>65000+3958</f>
        <v>68958</v>
      </c>
      <c r="I21" s="609">
        <v>142000</v>
      </c>
      <c r="J21" s="527">
        <f t="shared" si="10"/>
        <v>2678360</v>
      </c>
      <c r="K21" s="522">
        <f t="shared" si="11"/>
        <v>2167805</v>
      </c>
      <c r="L21" s="522"/>
      <c r="M21" s="444">
        <f>133000+169000+115000</f>
        <v>417000</v>
      </c>
      <c r="N21" s="390">
        <f t="shared" si="12"/>
        <v>3095360</v>
      </c>
      <c r="O21" s="825">
        <f t="shared" si="13"/>
        <v>2300805</v>
      </c>
      <c r="P21" s="826">
        <f t="shared" si="14"/>
        <v>2167805</v>
      </c>
      <c r="Q21" s="833">
        <v>133000</v>
      </c>
      <c r="R21" s="824"/>
      <c r="S21" s="614">
        <v>69600</v>
      </c>
      <c r="T21" s="393"/>
      <c r="U21" s="393">
        <v>65000</v>
      </c>
      <c r="V21" s="580">
        <v>284000</v>
      </c>
      <c r="W21" s="615">
        <v>3958</v>
      </c>
    </row>
    <row r="22" spans="1:27" x14ac:dyDescent="0.25">
      <c r="A22" s="578" t="s">
        <v>502</v>
      </c>
      <c r="B22" s="579" t="s">
        <v>503</v>
      </c>
      <c r="C22" s="443">
        <f t="shared" si="9"/>
        <v>1896141</v>
      </c>
      <c r="D22" s="392">
        <f>1534560+126169</f>
        <v>1660729</v>
      </c>
      <c r="E22" s="616">
        <v>235412</v>
      </c>
      <c r="F22" s="443">
        <f>245653-5000</f>
        <v>240653</v>
      </c>
      <c r="G22" s="616">
        <f>120000+60000+2500</f>
        <v>182500</v>
      </c>
      <c r="H22" s="389">
        <f>35000+17269</f>
        <v>52269</v>
      </c>
      <c r="I22" s="609">
        <v>170000</v>
      </c>
      <c r="J22" s="527">
        <f t="shared" si="10"/>
        <v>2541563</v>
      </c>
      <c r="K22" s="522">
        <f t="shared" si="11"/>
        <v>1901382</v>
      </c>
      <c r="L22" s="522"/>
      <c r="M22" s="444">
        <v>395000</v>
      </c>
      <c r="N22" s="390">
        <f>J22+M22</f>
        <v>2936563</v>
      </c>
      <c r="O22" s="825">
        <f t="shared" si="13"/>
        <v>1901382</v>
      </c>
      <c r="P22" s="826">
        <f t="shared" si="14"/>
        <v>1901382</v>
      </c>
      <c r="Q22" s="833"/>
      <c r="R22" s="824"/>
      <c r="S22" s="614">
        <v>120000</v>
      </c>
      <c r="T22" s="393">
        <v>2500</v>
      </c>
      <c r="U22" s="393">
        <v>35000</v>
      </c>
      <c r="V22" s="580"/>
      <c r="W22" s="615">
        <v>17269</v>
      </c>
    </row>
    <row r="23" spans="1:27" x14ac:dyDescent="0.25">
      <c r="A23" s="578" t="s">
        <v>504</v>
      </c>
      <c r="B23" s="579" t="s">
        <v>505</v>
      </c>
      <c r="C23" s="443">
        <f t="shared" si="9"/>
        <v>1451605</v>
      </c>
      <c r="D23" s="392">
        <f>1250540+31250</f>
        <v>1281790</v>
      </c>
      <c r="E23" s="616">
        <v>169815</v>
      </c>
      <c r="F23" s="443">
        <f>224511+10000</f>
        <v>234511</v>
      </c>
      <c r="G23" s="616">
        <v>75600</v>
      </c>
      <c r="H23" s="389">
        <f>100000+4940</f>
        <v>104940</v>
      </c>
      <c r="I23" s="609">
        <v>137700</v>
      </c>
      <c r="J23" s="527">
        <f t="shared" si="10"/>
        <v>2004356</v>
      </c>
      <c r="K23" s="522">
        <f t="shared" si="11"/>
        <v>1516301</v>
      </c>
      <c r="L23" s="522"/>
      <c r="M23" s="444"/>
      <c r="N23" s="390">
        <f t="shared" si="12"/>
        <v>2004356</v>
      </c>
      <c r="O23" s="825">
        <f t="shared" si="13"/>
        <v>1516301</v>
      </c>
      <c r="P23" s="826">
        <f t="shared" si="14"/>
        <v>1516301</v>
      </c>
      <c r="Q23" s="823">
        <f>M23</f>
        <v>0</v>
      </c>
      <c r="R23" s="827"/>
      <c r="S23" s="614">
        <v>75600</v>
      </c>
      <c r="T23" s="393"/>
      <c r="U23" s="393">
        <v>100000</v>
      </c>
      <c r="V23" s="580"/>
      <c r="W23" s="615">
        <v>4940</v>
      </c>
      <c r="AA23" s="1"/>
    </row>
    <row r="24" spans="1:27" ht="15.75" thickBot="1" x14ac:dyDescent="0.3">
      <c r="A24" s="581" t="s">
        <v>506</v>
      </c>
      <c r="B24" s="582" t="s">
        <v>507</v>
      </c>
      <c r="C24" s="631">
        <f t="shared" si="9"/>
        <v>850982</v>
      </c>
      <c r="D24" s="618">
        <f>806942-27550</f>
        <v>779392</v>
      </c>
      <c r="E24" s="632">
        <v>71590</v>
      </c>
      <c r="F24" s="631">
        <f>69341-5000</f>
        <v>64341</v>
      </c>
      <c r="G24" s="632">
        <v>31000</v>
      </c>
      <c r="H24" s="394"/>
      <c r="I24" s="633">
        <v>60000</v>
      </c>
      <c r="J24" s="527">
        <f t="shared" si="10"/>
        <v>1006323</v>
      </c>
      <c r="K24" s="523">
        <f>D24+F24</f>
        <v>843733</v>
      </c>
      <c r="L24" s="523"/>
      <c r="M24" s="448"/>
      <c r="N24" s="390">
        <f t="shared" si="12"/>
        <v>1006323</v>
      </c>
      <c r="O24" s="829">
        <f t="shared" si="13"/>
        <v>843733</v>
      </c>
      <c r="P24" s="830">
        <f t="shared" si="14"/>
        <v>843733</v>
      </c>
      <c r="Q24" s="831"/>
      <c r="R24" s="832"/>
      <c r="S24" s="614">
        <v>31000</v>
      </c>
      <c r="T24" s="393"/>
      <c r="U24" s="393"/>
      <c r="V24" s="456"/>
      <c r="W24" s="576"/>
    </row>
    <row r="25" spans="1:27" ht="15.75" thickBot="1" x14ac:dyDescent="0.3">
      <c r="A25" s="396" t="s">
        <v>508</v>
      </c>
      <c r="B25" s="493" t="s">
        <v>509</v>
      </c>
      <c r="C25" s="387">
        <f>C27+C28</f>
        <v>3302</v>
      </c>
      <c r="D25" s="387">
        <f>D27+D28+D26</f>
        <v>0</v>
      </c>
      <c r="E25" s="627">
        <f>E26+E27+E28</f>
        <v>3302</v>
      </c>
      <c r="F25" s="387">
        <f>F26+F27</f>
        <v>1085900</v>
      </c>
      <c r="G25" s="388">
        <f>G26+G27</f>
        <v>415000</v>
      </c>
      <c r="H25" s="628"/>
      <c r="I25" s="627"/>
      <c r="J25" s="420">
        <f>J26+J27+J28</f>
        <v>1504202</v>
      </c>
      <c r="K25" s="460">
        <f>K26+K27</f>
        <v>1085900</v>
      </c>
      <c r="L25" s="460">
        <f>SUM(L26:L28)</f>
        <v>0</v>
      </c>
      <c r="M25" s="627">
        <f>M26+M27</f>
        <v>53000</v>
      </c>
      <c r="N25" s="629">
        <f>N26+N27+N28</f>
        <v>1557202</v>
      </c>
      <c r="O25" s="420">
        <f>O26+O27</f>
        <v>1085900</v>
      </c>
      <c r="P25" s="387">
        <f>P26+P27</f>
        <v>1085900</v>
      </c>
      <c r="Q25" s="388">
        <f>Q26+Q27</f>
        <v>0</v>
      </c>
      <c r="R25" s="460"/>
      <c r="S25" s="387">
        <f>SUM(S26:S28)</f>
        <v>215000</v>
      </c>
      <c r="T25" s="388">
        <f>SUM(T26:T28)</f>
        <v>200000</v>
      </c>
      <c r="U25" s="460">
        <f>SUM(U26:U28)</f>
        <v>0</v>
      </c>
      <c r="V25" s="427"/>
      <c r="W25" s="427">
        <f>SUM(W26:W28)</f>
        <v>0</v>
      </c>
    </row>
    <row r="26" spans="1:27" x14ac:dyDescent="0.25">
      <c r="A26" s="573" t="s">
        <v>510</v>
      </c>
      <c r="B26" s="574" t="s">
        <v>511</v>
      </c>
      <c r="C26" s="443">
        <f>E26+D26</f>
        <v>0</v>
      </c>
      <c r="D26" s="607"/>
      <c r="E26" s="608">
        <v>0</v>
      </c>
      <c r="F26" s="630">
        <v>815500</v>
      </c>
      <c r="G26" s="607">
        <v>95000</v>
      </c>
      <c r="H26" s="575"/>
      <c r="I26" s="447"/>
      <c r="J26" s="527">
        <f>F26+G26+C26</f>
        <v>910500</v>
      </c>
      <c r="K26" s="524">
        <f>F26+D26</f>
        <v>815500</v>
      </c>
      <c r="L26" s="524"/>
      <c r="M26" s="447">
        <v>53000</v>
      </c>
      <c r="N26" s="390">
        <f>J26+M26</f>
        <v>963500</v>
      </c>
      <c r="O26" s="821">
        <f>P26+Q26</f>
        <v>815500</v>
      </c>
      <c r="P26" s="822">
        <f>F26+D26</f>
        <v>815500</v>
      </c>
      <c r="Q26" s="833"/>
      <c r="R26" s="824"/>
      <c r="S26" s="577">
        <v>95000</v>
      </c>
      <c r="T26" s="634"/>
      <c r="U26" s="635"/>
      <c r="V26" s="583"/>
      <c r="W26" s="636"/>
    </row>
    <row r="27" spans="1:27" x14ac:dyDescent="0.25">
      <c r="A27" s="578" t="s">
        <v>512</v>
      </c>
      <c r="B27" s="579" t="s">
        <v>513</v>
      </c>
      <c r="C27" s="443">
        <f>E27+D27</f>
        <v>3232</v>
      </c>
      <c r="D27" s="392"/>
      <c r="E27" s="444">
        <v>3232</v>
      </c>
      <c r="F27" s="443">
        <v>270400</v>
      </c>
      <c r="G27" s="392">
        <v>320000</v>
      </c>
      <c r="H27" s="637"/>
      <c r="I27" s="444"/>
      <c r="J27" s="527">
        <f>F27+G27+C27</f>
        <v>593632</v>
      </c>
      <c r="K27" s="522">
        <f>F27+D27</f>
        <v>270400</v>
      </c>
      <c r="L27" s="522"/>
      <c r="M27" s="444"/>
      <c r="N27" s="434">
        <f>J27+M27</f>
        <v>593632</v>
      </c>
      <c r="O27" s="825">
        <f>P27+Q27</f>
        <v>270400</v>
      </c>
      <c r="P27" s="822">
        <f>F27+D27</f>
        <v>270400</v>
      </c>
      <c r="Q27" s="823"/>
      <c r="R27" s="827"/>
      <c r="S27" s="614">
        <v>120000</v>
      </c>
      <c r="T27" s="393">
        <v>200000</v>
      </c>
      <c r="U27" s="638"/>
      <c r="V27" s="639"/>
      <c r="W27" s="640"/>
    </row>
    <row r="28" spans="1:27" ht="15.75" thickBot="1" x14ac:dyDescent="0.3">
      <c r="A28" s="573"/>
      <c r="B28" s="574" t="s">
        <v>514</v>
      </c>
      <c r="C28" s="446">
        <f>E28</f>
        <v>70</v>
      </c>
      <c r="D28" s="389"/>
      <c r="E28" s="447">
        <v>70</v>
      </c>
      <c r="F28" s="584"/>
      <c r="G28" s="585"/>
      <c r="H28" s="575"/>
      <c r="I28" s="447"/>
      <c r="J28" s="527">
        <f>C28+F28+G28</f>
        <v>70</v>
      </c>
      <c r="K28" s="524"/>
      <c r="L28" s="524"/>
      <c r="M28" s="447"/>
      <c r="N28" s="390">
        <f>J28+M28</f>
        <v>70</v>
      </c>
      <c r="O28" s="821"/>
      <c r="P28" s="822"/>
      <c r="Q28" s="833"/>
      <c r="R28" s="820"/>
      <c r="S28" s="586"/>
      <c r="T28" s="587"/>
      <c r="U28" s="588"/>
      <c r="V28" s="589"/>
      <c r="W28" s="590"/>
    </row>
    <row r="29" spans="1:27" ht="15.75" thickBot="1" x14ac:dyDescent="0.3">
      <c r="A29" s="397" t="s">
        <v>515</v>
      </c>
      <c r="B29" s="494" t="s">
        <v>516</v>
      </c>
      <c r="C29" s="449"/>
      <c r="D29" s="398"/>
      <c r="E29" s="450">
        <f>E30+E31+E32+E33+E34+E37+E41+E42+E43+E44+E45+E49+E50+E35+E36+E48+E47+E46+E38+E39+E40</f>
        <v>1152120</v>
      </c>
      <c r="F29" s="449"/>
      <c r="G29" s="398"/>
      <c r="H29" s="545"/>
      <c r="I29" s="450"/>
      <c r="J29" s="438"/>
      <c r="K29" s="465"/>
      <c r="L29" s="465"/>
      <c r="M29" s="450"/>
      <c r="N29" s="435"/>
      <c r="O29" s="420">
        <f>O30+O31+O32+O33+O34+O37+O41+O42+O43+O44+O45+O49+O50+O35+O36+O46+O47+O48+O38+O39+O40</f>
        <v>1152050</v>
      </c>
      <c r="P29" s="387">
        <f>P30+P31+P32+P33+P34+P37+P41+P42+P43+P44+P45+P49+P50+P35+P36+P48+P47+P46+P38+P39+P40</f>
        <v>1152050</v>
      </c>
      <c r="Q29" s="834"/>
      <c r="R29" s="835"/>
      <c r="S29" s="476"/>
      <c r="T29" s="477"/>
      <c r="U29" s="478"/>
      <c r="V29" s="479"/>
      <c r="W29" s="475"/>
    </row>
    <row r="30" spans="1:27" x14ac:dyDescent="0.25">
      <c r="A30" s="399">
        <v>22</v>
      </c>
      <c r="B30" s="495" t="s">
        <v>517</v>
      </c>
      <c r="C30" s="446"/>
      <c r="D30" s="389"/>
      <c r="E30" s="643">
        <v>60072</v>
      </c>
      <c r="F30" s="446"/>
      <c r="G30" s="389"/>
      <c r="H30" s="389"/>
      <c r="I30" s="447"/>
      <c r="J30" s="527"/>
      <c r="K30" s="524"/>
      <c r="L30" s="524"/>
      <c r="M30" s="447"/>
      <c r="N30" s="390"/>
      <c r="O30" s="644">
        <f>SUM(P30:Q30)</f>
        <v>60072</v>
      </c>
      <c r="P30" s="645">
        <f t="shared" ref="P30:P40" si="15">E30</f>
        <v>60072</v>
      </c>
      <c r="Q30" s="833"/>
      <c r="R30" s="820"/>
      <c r="S30" s="472"/>
      <c r="T30" s="473"/>
      <c r="U30" s="646"/>
      <c r="V30" s="647"/>
      <c r="W30" s="647"/>
    </row>
    <row r="31" spans="1:27" x14ac:dyDescent="0.25">
      <c r="A31" s="400">
        <v>25</v>
      </c>
      <c r="B31" s="496" t="s">
        <v>518</v>
      </c>
      <c r="C31" s="443"/>
      <c r="D31" s="392"/>
      <c r="E31" s="648">
        <v>0</v>
      </c>
      <c r="F31" s="443"/>
      <c r="G31" s="392"/>
      <c r="H31" s="392"/>
      <c r="I31" s="444"/>
      <c r="J31" s="528"/>
      <c r="K31" s="522"/>
      <c r="L31" s="522"/>
      <c r="M31" s="444"/>
      <c r="N31" s="434"/>
      <c r="O31" s="644">
        <f>SUM(P31:Q31)</f>
        <v>0</v>
      </c>
      <c r="P31" s="645">
        <f t="shared" si="15"/>
        <v>0</v>
      </c>
      <c r="Q31" s="823"/>
      <c r="R31" s="820"/>
      <c r="S31" s="472"/>
      <c r="T31" s="473"/>
      <c r="U31" s="480"/>
      <c r="V31" s="481"/>
      <c r="W31" s="481"/>
    </row>
    <row r="32" spans="1:27" x14ac:dyDescent="0.25">
      <c r="A32" s="400">
        <v>20</v>
      </c>
      <c r="B32" s="496" t="s">
        <v>519</v>
      </c>
      <c r="C32" s="443"/>
      <c r="D32" s="392"/>
      <c r="E32" s="648">
        <v>46096</v>
      </c>
      <c r="F32" s="443"/>
      <c r="G32" s="392"/>
      <c r="H32" s="392"/>
      <c r="I32" s="444"/>
      <c r="J32" s="528"/>
      <c r="K32" s="522"/>
      <c r="L32" s="522"/>
      <c r="M32" s="444"/>
      <c r="N32" s="434"/>
      <c r="O32" s="644">
        <f t="shared" ref="O32:O51" si="16">SUM(P32:Q32)</f>
        <v>46096</v>
      </c>
      <c r="P32" s="645">
        <f t="shared" si="15"/>
        <v>46096</v>
      </c>
      <c r="Q32" s="823"/>
      <c r="R32" s="820"/>
      <c r="S32" s="472"/>
      <c r="T32" s="473"/>
      <c r="U32" s="480"/>
      <c r="V32" s="481"/>
      <c r="W32" s="481"/>
    </row>
    <row r="33" spans="1:23" x14ac:dyDescent="0.25">
      <c r="A33" s="400">
        <v>28</v>
      </c>
      <c r="B33" s="496" t="s">
        <v>520</v>
      </c>
      <c r="C33" s="443"/>
      <c r="D33" s="392"/>
      <c r="E33" s="648">
        <v>23786</v>
      </c>
      <c r="F33" s="443"/>
      <c r="G33" s="392"/>
      <c r="H33" s="392"/>
      <c r="I33" s="444"/>
      <c r="J33" s="528"/>
      <c r="K33" s="522"/>
      <c r="L33" s="522"/>
      <c r="M33" s="444"/>
      <c r="N33" s="434"/>
      <c r="O33" s="644">
        <f t="shared" si="16"/>
        <v>23786</v>
      </c>
      <c r="P33" s="645">
        <f t="shared" si="15"/>
        <v>23786</v>
      </c>
      <c r="Q33" s="823"/>
      <c r="R33" s="820"/>
      <c r="S33" s="472"/>
      <c r="T33" s="473"/>
      <c r="U33" s="480"/>
      <c r="V33" s="481"/>
      <c r="W33" s="481"/>
    </row>
    <row r="34" spans="1:23" x14ac:dyDescent="0.25">
      <c r="A34" s="400">
        <v>39</v>
      </c>
      <c r="B34" s="496" t="s">
        <v>620</v>
      </c>
      <c r="C34" s="443"/>
      <c r="D34" s="392"/>
      <c r="E34" s="648">
        <v>36300</v>
      </c>
      <c r="F34" s="443"/>
      <c r="G34" s="392"/>
      <c r="H34" s="392"/>
      <c r="I34" s="444"/>
      <c r="J34" s="528"/>
      <c r="K34" s="522"/>
      <c r="L34" s="522"/>
      <c r="M34" s="444"/>
      <c r="N34" s="434"/>
      <c r="O34" s="644">
        <f t="shared" si="16"/>
        <v>36300</v>
      </c>
      <c r="P34" s="645">
        <f t="shared" si="15"/>
        <v>36300</v>
      </c>
      <c r="Q34" s="823"/>
      <c r="R34" s="820"/>
      <c r="S34" s="472"/>
      <c r="T34" s="473"/>
      <c r="U34" s="480"/>
      <c r="V34" s="481"/>
      <c r="W34" s="481"/>
    </row>
    <row r="35" spans="1:23" x14ac:dyDescent="0.25">
      <c r="A35" s="400">
        <v>32</v>
      </c>
      <c r="B35" s="496" t="s">
        <v>651</v>
      </c>
      <c r="C35" s="443"/>
      <c r="D35" s="392"/>
      <c r="E35" s="648">
        <v>0</v>
      </c>
      <c r="F35" s="443"/>
      <c r="G35" s="392"/>
      <c r="H35" s="392"/>
      <c r="I35" s="444"/>
      <c r="J35" s="528"/>
      <c r="K35" s="522"/>
      <c r="L35" s="522"/>
      <c r="M35" s="444"/>
      <c r="N35" s="434"/>
      <c r="O35" s="644">
        <f t="shared" si="16"/>
        <v>0</v>
      </c>
      <c r="P35" s="645">
        <f t="shared" si="15"/>
        <v>0</v>
      </c>
      <c r="Q35" s="823"/>
      <c r="R35" s="820"/>
      <c r="S35" s="472"/>
      <c r="T35" s="473"/>
      <c r="U35" s="480"/>
      <c r="V35" s="481"/>
      <c r="W35" s="481"/>
    </row>
    <row r="36" spans="1:23" x14ac:dyDescent="0.25">
      <c r="A36" s="400">
        <v>30</v>
      </c>
      <c r="B36" s="496" t="s">
        <v>599</v>
      </c>
      <c r="C36" s="443"/>
      <c r="D36" s="392"/>
      <c r="E36" s="648">
        <v>0</v>
      </c>
      <c r="F36" s="443"/>
      <c r="G36" s="392"/>
      <c r="H36" s="392"/>
      <c r="I36" s="444"/>
      <c r="J36" s="528"/>
      <c r="K36" s="522"/>
      <c r="L36" s="522"/>
      <c r="M36" s="444"/>
      <c r="N36" s="434"/>
      <c r="O36" s="644">
        <f t="shared" si="16"/>
        <v>0</v>
      </c>
      <c r="P36" s="645">
        <f t="shared" si="15"/>
        <v>0</v>
      </c>
      <c r="Q36" s="823"/>
      <c r="R36" s="820"/>
      <c r="S36" s="472"/>
      <c r="T36" s="473"/>
      <c r="U36" s="480"/>
      <c r="V36" s="481"/>
      <c r="W36" s="481"/>
    </row>
    <row r="37" spans="1:23" x14ac:dyDescent="0.25">
      <c r="A37" s="400">
        <v>40</v>
      </c>
      <c r="B37" s="496" t="s">
        <v>625</v>
      </c>
      <c r="C37" s="443"/>
      <c r="D37" s="392"/>
      <c r="E37" s="648">
        <f>38580-38580</f>
        <v>0</v>
      </c>
      <c r="F37" s="443"/>
      <c r="G37" s="392"/>
      <c r="H37" s="392"/>
      <c r="I37" s="444"/>
      <c r="J37" s="528"/>
      <c r="K37" s="522"/>
      <c r="L37" s="522"/>
      <c r="M37" s="444"/>
      <c r="N37" s="434"/>
      <c r="O37" s="644">
        <f t="shared" si="16"/>
        <v>0</v>
      </c>
      <c r="P37" s="645">
        <f t="shared" si="15"/>
        <v>0</v>
      </c>
      <c r="Q37" s="823"/>
      <c r="R37" s="820"/>
      <c r="S37" s="472"/>
      <c r="T37" s="473"/>
      <c r="U37" s="480"/>
      <c r="V37" s="481"/>
      <c r="W37" s="481"/>
    </row>
    <row r="38" spans="1:23" x14ac:dyDescent="0.25">
      <c r="A38" s="400">
        <v>53</v>
      </c>
      <c r="B38" s="496" t="s">
        <v>615</v>
      </c>
      <c r="C38" s="443"/>
      <c r="D38" s="392"/>
      <c r="E38" s="648"/>
      <c r="F38" s="443"/>
      <c r="G38" s="392"/>
      <c r="H38" s="392"/>
      <c r="I38" s="444"/>
      <c r="J38" s="528"/>
      <c r="K38" s="522"/>
      <c r="L38" s="522"/>
      <c r="M38" s="444"/>
      <c r="N38" s="434"/>
      <c r="O38" s="644">
        <f t="shared" si="16"/>
        <v>0</v>
      </c>
      <c r="P38" s="645">
        <f t="shared" si="15"/>
        <v>0</v>
      </c>
      <c r="Q38" s="823"/>
      <c r="R38" s="820"/>
      <c r="S38" s="472"/>
      <c r="T38" s="473"/>
      <c r="U38" s="480"/>
      <c r="V38" s="481"/>
      <c r="W38" s="481"/>
    </row>
    <row r="39" spans="1:23" x14ac:dyDescent="0.25">
      <c r="A39" s="400"/>
      <c r="B39" s="496" t="s">
        <v>606</v>
      </c>
      <c r="C39" s="443"/>
      <c r="D39" s="392"/>
      <c r="E39" s="648"/>
      <c r="F39" s="443"/>
      <c r="G39" s="392"/>
      <c r="H39" s="392"/>
      <c r="I39" s="444"/>
      <c r="J39" s="528"/>
      <c r="K39" s="522"/>
      <c r="L39" s="522"/>
      <c r="M39" s="444"/>
      <c r="N39" s="434"/>
      <c r="O39" s="644">
        <f t="shared" si="16"/>
        <v>0</v>
      </c>
      <c r="P39" s="645">
        <f t="shared" si="15"/>
        <v>0</v>
      </c>
      <c r="Q39" s="823"/>
      <c r="R39" s="820"/>
      <c r="S39" s="472"/>
      <c r="T39" s="473"/>
      <c r="U39" s="480"/>
      <c r="V39" s="481"/>
      <c r="W39" s="481"/>
    </row>
    <row r="40" spans="1:23" x14ac:dyDescent="0.25">
      <c r="A40" s="400">
        <v>5</v>
      </c>
      <c r="B40" s="496" t="s">
        <v>616</v>
      </c>
      <c r="C40" s="443"/>
      <c r="D40" s="392"/>
      <c r="E40" s="648"/>
      <c r="F40" s="443"/>
      <c r="G40" s="392"/>
      <c r="H40" s="392"/>
      <c r="I40" s="444"/>
      <c r="J40" s="528"/>
      <c r="K40" s="522"/>
      <c r="L40" s="522"/>
      <c r="M40" s="444"/>
      <c r="N40" s="434"/>
      <c r="O40" s="644">
        <f t="shared" si="16"/>
        <v>0</v>
      </c>
      <c r="P40" s="645">
        <f t="shared" si="15"/>
        <v>0</v>
      </c>
      <c r="Q40" s="823"/>
      <c r="R40" s="820"/>
      <c r="S40" s="472"/>
      <c r="T40" s="473"/>
      <c r="U40" s="480"/>
      <c r="V40" s="481"/>
      <c r="W40" s="481"/>
    </row>
    <row r="41" spans="1:23" x14ac:dyDescent="0.25">
      <c r="A41" s="400">
        <v>24</v>
      </c>
      <c r="B41" s="496" t="s">
        <v>521</v>
      </c>
      <c r="C41" s="443"/>
      <c r="D41" s="392"/>
      <c r="E41" s="648">
        <v>1270</v>
      </c>
      <c r="F41" s="443"/>
      <c r="G41" s="392"/>
      <c r="H41" s="392"/>
      <c r="I41" s="444"/>
      <c r="J41" s="528"/>
      <c r="K41" s="522"/>
      <c r="L41" s="522"/>
      <c r="M41" s="444"/>
      <c r="N41" s="434"/>
      <c r="O41" s="644">
        <f t="shared" si="16"/>
        <v>1200</v>
      </c>
      <c r="P41" s="645">
        <f>E41-E28</f>
        <v>1200</v>
      </c>
      <c r="Q41" s="823"/>
      <c r="R41" s="820"/>
      <c r="S41" s="472"/>
      <c r="T41" s="473"/>
      <c r="U41" s="480"/>
      <c r="V41" s="481"/>
      <c r="W41" s="481"/>
    </row>
    <row r="42" spans="1:23" x14ac:dyDescent="0.25">
      <c r="A42" s="400">
        <v>26</v>
      </c>
      <c r="B42" s="496" t="s">
        <v>652</v>
      </c>
      <c r="C42" s="443"/>
      <c r="D42" s="392"/>
      <c r="E42" s="648"/>
      <c r="F42" s="443"/>
      <c r="G42" s="392"/>
      <c r="H42" s="392"/>
      <c r="I42" s="444"/>
      <c r="J42" s="528"/>
      <c r="K42" s="522"/>
      <c r="L42" s="522"/>
      <c r="M42" s="444"/>
      <c r="N42" s="434"/>
      <c r="O42" s="644">
        <f t="shared" si="16"/>
        <v>0</v>
      </c>
      <c r="P42" s="645">
        <f t="shared" ref="P42:P50" si="17">E42</f>
        <v>0</v>
      </c>
      <c r="Q42" s="823"/>
      <c r="R42" s="820"/>
      <c r="S42" s="472"/>
      <c r="T42" s="473"/>
      <c r="U42" s="480"/>
      <c r="V42" s="481"/>
      <c r="W42" s="481"/>
    </row>
    <row r="43" spans="1:23" x14ac:dyDescent="0.25">
      <c r="A43" s="400">
        <v>35</v>
      </c>
      <c r="B43" s="496" t="s">
        <v>522</v>
      </c>
      <c r="C43" s="443"/>
      <c r="D43" s="392"/>
      <c r="E43" s="648">
        <v>27200</v>
      </c>
      <c r="F43" s="443"/>
      <c r="G43" s="392"/>
      <c r="H43" s="392"/>
      <c r="I43" s="444"/>
      <c r="J43" s="528"/>
      <c r="K43" s="522"/>
      <c r="L43" s="522"/>
      <c r="M43" s="444"/>
      <c r="N43" s="434"/>
      <c r="O43" s="644">
        <f t="shared" si="16"/>
        <v>27200</v>
      </c>
      <c r="P43" s="645">
        <f t="shared" si="17"/>
        <v>27200</v>
      </c>
      <c r="Q43" s="823"/>
      <c r="R43" s="820"/>
      <c r="S43" s="472"/>
      <c r="T43" s="473"/>
      <c r="U43" s="480"/>
      <c r="V43" s="481"/>
      <c r="W43" s="481"/>
    </row>
    <row r="44" spans="1:23" x14ac:dyDescent="0.25">
      <c r="A44" s="400">
        <v>19</v>
      </c>
      <c r="B44" s="496" t="s">
        <v>653</v>
      </c>
      <c r="C44" s="443"/>
      <c r="D44" s="392"/>
      <c r="E44" s="648">
        <v>25650</v>
      </c>
      <c r="F44" s="443"/>
      <c r="G44" s="392"/>
      <c r="H44" s="392"/>
      <c r="I44" s="444"/>
      <c r="J44" s="528"/>
      <c r="K44" s="522"/>
      <c r="L44" s="522"/>
      <c r="M44" s="444"/>
      <c r="N44" s="434"/>
      <c r="O44" s="644">
        <f t="shared" si="16"/>
        <v>25650</v>
      </c>
      <c r="P44" s="645">
        <f t="shared" si="17"/>
        <v>25650</v>
      </c>
      <c r="Q44" s="823"/>
      <c r="R44" s="820"/>
      <c r="S44" s="472"/>
      <c r="T44" s="473"/>
      <c r="U44" s="480"/>
      <c r="V44" s="481"/>
      <c r="W44" s="481"/>
    </row>
    <row r="45" spans="1:23" x14ac:dyDescent="0.25">
      <c r="A45" s="401">
        <v>9</v>
      </c>
      <c r="B45" s="496" t="s">
        <v>569</v>
      </c>
      <c r="C45" s="445"/>
      <c r="D45" s="394"/>
      <c r="E45" s="649">
        <v>67059</v>
      </c>
      <c r="F45" s="445"/>
      <c r="G45" s="394"/>
      <c r="H45" s="394"/>
      <c r="I45" s="448"/>
      <c r="J45" s="650"/>
      <c r="K45" s="523"/>
      <c r="L45" s="523"/>
      <c r="M45" s="448"/>
      <c r="N45" s="436"/>
      <c r="O45" s="644">
        <f t="shared" si="16"/>
        <v>67059</v>
      </c>
      <c r="P45" s="645">
        <f t="shared" si="17"/>
        <v>67059</v>
      </c>
      <c r="Q45" s="823"/>
      <c r="R45" s="820"/>
      <c r="S45" s="472"/>
      <c r="T45" s="473"/>
      <c r="U45" s="480"/>
      <c r="V45" s="481"/>
      <c r="W45" s="481"/>
    </row>
    <row r="46" spans="1:23" x14ac:dyDescent="0.25">
      <c r="A46" s="401">
        <v>34</v>
      </c>
      <c r="B46" s="496" t="s">
        <v>614</v>
      </c>
      <c r="C46" s="445"/>
      <c r="D46" s="394"/>
      <c r="E46" s="649">
        <v>104412</v>
      </c>
      <c r="F46" s="445"/>
      <c r="G46" s="394"/>
      <c r="H46" s="394"/>
      <c r="I46" s="448"/>
      <c r="J46" s="650"/>
      <c r="K46" s="523"/>
      <c r="L46" s="523"/>
      <c r="M46" s="448"/>
      <c r="N46" s="436"/>
      <c r="O46" s="644">
        <f t="shared" si="16"/>
        <v>104412</v>
      </c>
      <c r="P46" s="645">
        <f t="shared" si="17"/>
        <v>104412</v>
      </c>
      <c r="Q46" s="823"/>
      <c r="R46" s="820"/>
      <c r="S46" s="472"/>
      <c r="T46" s="473"/>
      <c r="U46" s="480"/>
      <c r="V46" s="481"/>
      <c r="W46" s="481"/>
    </row>
    <row r="47" spans="1:23" x14ac:dyDescent="0.25">
      <c r="A47" s="401">
        <v>36</v>
      </c>
      <c r="B47" s="496" t="s">
        <v>613</v>
      </c>
      <c r="C47" s="445"/>
      <c r="D47" s="394"/>
      <c r="E47" s="649">
        <v>125447</v>
      </c>
      <c r="F47" s="445"/>
      <c r="G47" s="394"/>
      <c r="H47" s="394"/>
      <c r="I47" s="448"/>
      <c r="J47" s="650"/>
      <c r="K47" s="523"/>
      <c r="L47" s="523"/>
      <c r="M47" s="448"/>
      <c r="N47" s="436"/>
      <c r="O47" s="644">
        <f t="shared" si="16"/>
        <v>125447</v>
      </c>
      <c r="P47" s="645">
        <f t="shared" si="17"/>
        <v>125447</v>
      </c>
      <c r="Q47" s="823"/>
      <c r="R47" s="820"/>
      <c r="S47" s="472"/>
      <c r="T47" s="473"/>
      <c r="U47" s="480"/>
      <c r="V47" s="481"/>
      <c r="W47" s="481"/>
    </row>
    <row r="48" spans="1:23" x14ac:dyDescent="0.25">
      <c r="A48" s="401">
        <v>37</v>
      </c>
      <c r="B48" s="496" t="s">
        <v>612</v>
      </c>
      <c r="C48" s="445"/>
      <c r="D48" s="394"/>
      <c r="E48" s="649">
        <v>632803</v>
      </c>
      <c r="F48" s="445"/>
      <c r="G48" s="394"/>
      <c r="H48" s="394"/>
      <c r="I48" s="448"/>
      <c r="J48" s="650"/>
      <c r="K48" s="523"/>
      <c r="L48" s="523"/>
      <c r="M48" s="448"/>
      <c r="N48" s="436"/>
      <c r="O48" s="644">
        <f t="shared" si="16"/>
        <v>632803</v>
      </c>
      <c r="P48" s="645">
        <f t="shared" si="17"/>
        <v>632803</v>
      </c>
      <c r="Q48" s="823"/>
      <c r="R48" s="820"/>
      <c r="S48" s="472"/>
      <c r="T48" s="473"/>
      <c r="U48" s="480"/>
      <c r="V48" s="481"/>
      <c r="W48" s="481"/>
    </row>
    <row r="49" spans="1:24" x14ac:dyDescent="0.25">
      <c r="A49" s="401">
        <v>27</v>
      </c>
      <c r="B49" s="496" t="s">
        <v>603</v>
      </c>
      <c r="C49" s="445"/>
      <c r="D49" s="394"/>
      <c r="E49" s="649">
        <v>0</v>
      </c>
      <c r="F49" s="445"/>
      <c r="G49" s="394"/>
      <c r="H49" s="394"/>
      <c r="I49" s="448"/>
      <c r="J49" s="650"/>
      <c r="K49" s="523"/>
      <c r="L49" s="523"/>
      <c r="M49" s="448"/>
      <c r="N49" s="436"/>
      <c r="O49" s="644">
        <f>SUM(P49:Q49)</f>
        <v>0</v>
      </c>
      <c r="P49" s="645">
        <f t="shared" si="17"/>
        <v>0</v>
      </c>
      <c r="Q49" s="823"/>
      <c r="R49" s="820"/>
      <c r="S49" s="472"/>
      <c r="T49" s="473"/>
      <c r="U49" s="480"/>
      <c r="V49" s="481"/>
      <c r="W49" s="481"/>
    </row>
    <row r="50" spans="1:24" ht="15.75" thickBot="1" x14ac:dyDescent="0.3">
      <c r="A50" s="401">
        <v>29</v>
      </c>
      <c r="B50" s="496" t="s">
        <v>523</v>
      </c>
      <c r="C50" s="445"/>
      <c r="D50" s="394"/>
      <c r="E50" s="649">
        <v>2025</v>
      </c>
      <c r="F50" s="445"/>
      <c r="G50" s="394"/>
      <c r="H50" s="394"/>
      <c r="I50" s="448"/>
      <c r="J50" s="650"/>
      <c r="K50" s="523"/>
      <c r="L50" s="523"/>
      <c r="M50" s="448"/>
      <c r="N50" s="436"/>
      <c r="O50" s="644">
        <f t="shared" si="16"/>
        <v>2025</v>
      </c>
      <c r="P50" s="645">
        <f t="shared" si="17"/>
        <v>2025</v>
      </c>
      <c r="Q50" s="831"/>
      <c r="R50" s="820"/>
      <c r="S50" s="472"/>
      <c r="T50" s="473"/>
      <c r="U50" s="480"/>
      <c r="V50" s="481"/>
      <c r="W50" s="481"/>
    </row>
    <row r="51" spans="1:24" ht="15.75" thickBot="1" x14ac:dyDescent="0.3">
      <c r="A51" s="428" t="s">
        <v>524</v>
      </c>
      <c r="B51" s="494" t="s">
        <v>541</v>
      </c>
      <c r="C51" s="449"/>
      <c r="D51" s="398"/>
      <c r="E51" s="450"/>
      <c r="F51" s="449"/>
      <c r="G51" s="398">
        <f>G9+G18+G25</f>
        <v>1111992</v>
      </c>
      <c r="H51" s="398"/>
      <c r="I51" s="450"/>
      <c r="J51" s="438"/>
      <c r="K51" s="465"/>
      <c r="L51" s="465"/>
      <c r="M51" s="450">
        <f>13012+133+169000+115000+213000</f>
        <v>510145</v>
      </c>
      <c r="N51" s="450">
        <f>SUM(M51)</f>
        <v>510145</v>
      </c>
      <c r="O51" s="420">
        <f t="shared" si="16"/>
        <v>1622137</v>
      </c>
      <c r="P51" s="387">
        <f>G51</f>
        <v>1111992</v>
      </c>
      <c r="Q51" s="388">
        <f>M51</f>
        <v>510145</v>
      </c>
      <c r="R51" s="463"/>
      <c r="S51" s="472"/>
      <c r="T51" s="473"/>
      <c r="U51" s="480"/>
      <c r="V51" s="481"/>
      <c r="W51" s="481"/>
    </row>
    <row r="52" spans="1:24" s="466" customFormat="1" ht="15.75" thickBot="1" x14ac:dyDescent="0.3">
      <c r="A52" s="397" t="s">
        <v>525</v>
      </c>
      <c r="B52" s="497" t="s">
        <v>295</v>
      </c>
      <c r="C52" s="449">
        <f>SUM(D52:E52)</f>
        <v>407198</v>
      </c>
      <c r="D52" s="398">
        <v>154943</v>
      </c>
      <c r="E52" s="450">
        <f>452255-200000</f>
        <v>252255</v>
      </c>
      <c r="F52" s="545">
        <f>26094-6648</f>
        <v>19446</v>
      </c>
      <c r="G52" s="398">
        <f>36570+27500-2500</f>
        <v>61570</v>
      </c>
      <c r="H52" s="398">
        <f>25684-5604</f>
        <v>20080</v>
      </c>
      <c r="I52" s="398">
        <v>25760</v>
      </c>
      <c r="J52" s="438">
        <f>D52+E52+G52+H52+F52+I52</f>
        <v>534054</v>
      </c>
      <c r="K52" s="465"/>
      <c r="L52" s="465"/>
      <c r="M52" s="450">
        <f>40000-13012</f>
        <v>26988</v>
      </c>
      <c r="N52" s="435">
        <f>D52+E52+G52+H52+F52+M52+I52</f>
        <v>561042</v>
      </c>
      <c r="O52" s="420">
        <v>0</v>
      </c>
      <c r="P52" s="387">
        <v>0</v>
      </c>
      <c r="Q52" s="834"/>
      <c r="R52" s="820"/>
      <c r="S52" s="472"/>
      <c r="T52" s="473"/>
      <c r="U52" s="480"/>
      <c r="V52" s="481"/>
      <c r="W52" s="481"/>
    </row>
    <row r="53" spans="1:24" ht="15.75" thickBot="1" x14ac:dyDescent="0.3">
      <c r="A53" s="397" t="s">
        <v>526</v>
      </c>
      <c r="B53" s="497" t="s">
        <v>527</v>
      </c>
      <c r="C53" s="449"/>
      <c r="D53" s="398"/>
      <c r="E53" s="450"/>
      <c r="F53" s="449"/>
      <c r="G53" s="398"/>
      <c r="H53" s="398">
        <f>H9+H18</f>
        <v>576790</v>
      </c>
      <c r="I53" s="450">
        <f>I9+I18</f>
        <v>774240</v>
      </c>
      <c r="J53" s="438"/>
      <c r="K53" s="465"/>
      <c r="L53" s="465"/>
      <c r="M53" s="450"/>
      <c r="N53" s="435"/>
      <c r="O53" s="420">
        <f>P53</f>
        <v>1351030</v>
      </c>
      <c r="P53" s="387">
        <f>H53+I53</f>
        <v>1351030</v>
      </c>
      <c r="Q53" s="834"/>
      <c r="R53" s="836"/>
      <c r="S53" s="472"/>
      <c r="T53" s="473"/>
      <c r="U53" s="480"/>
      <c r="V53" s="481"/>
      <c r="W53" s="481"/>
    </row>
    <row r="54" spans="1:24" ht="15.75" thickBot="1" x14ac:dyDescent="0.3">
      <c r="A54" s="722" t="s">
        <v>585</v>
      </c>
      <c r="B54" s="723"/>
      <c r="C54" s="451">
        <f>C9+C18+C25+C52</f>
        <v>11611641</v>
      </c>
      <c r="D54" s="429">
        <f>D18+D52+D9</f>
        <v>10207266</v>
      </c>
      <c r="E54" s="452">
        <f>E30+E31+E32+E33+E34+E37+E41+E42+E43+E44+E45+E49+E50+E52+E35+E36+E46+E47+E48+E39+E40</f>
        <v>1404375</v>
      </c>
      <c r="F54" s="546">
        <f>F9+F18+F25+F8+F52</f>
        <v>2633845</v>
      </c>
      <c r="G54" s="429">
        <f>G9+G18+G25+G52</f>
        <v>1173562</v>
      </c>
      <c r="H54" s="429">
        <f>H9+H18+H52</f>
        <v>596870</v>
      </c>
      <c r="I54" s="429">
        <f>I9+I18+I52</f>
        <v>800000</v>
      </c>
      <c r="J54" s="529">
        <f>J9+J18+J25+J52+J8</f>
        <v>16815918</v>
      </c>
      <c r="K54" s="525">
        <f>K9+K18+K25</f>
        <v>12660722</v>
      </c>
      <c r="L54" s="525"/>
      <c r="M54" s="452">
        <f>M9+M18+M25+M52</f>
        <v>1556145</v>
      </c>
      <c r="N54" s="437">
        <f>N9+N18+N25+N8+N52</f>
        <v>18372063</v>
      </c>
      <c r="O54" s="427">
        <f>O53+O51+O29+O25+O18+O9</f>
        <v>16939951</v>
      </c>
      <c r="P54" s="454">
        <f>P53+P51+P29+P25+P18+P9</f>
        <v>16275794</v>
      </c>
      <c r="Q54" s="455">
        <f>Q9+Q18+Q25+Q51</f>
        <v>664157</v>
      </c>
      <c r="R54" s="464"/>
      <c r="S54" s="449">
        <f>S9+S18+S25</f>
        <v>765430</v>
      </c>
      <c r="T54" s="398">
        <f>T9+T18+T25</f>
        <v>204300</v>
      </c>
      <c r="U54" s="465">
        <f>U25+U18+U9</f>
        <v>529920</v>
      </c>
      <c r="V54" s="465">
        <f>V25+V18+V9</f>
        <v>497000</v>
      </c>
      <c r="W54" s="465">
        <f>W9+W18+W25</f>
        <v>69777</v>
      </c>
    </row>
    <row r="55" spans="1:24" ht="15.75" thickBot="1" x14ac:dyDescent="0.3">
      <c r="A55" s="715" t="s">
        <v>357</v>
      </c>
      <c r="B55" s="716"/>
      <c r="C55" s="660"/>
      <c r="D55" s="661">
        <v>735000</v>
      </c>
      <c r="E55" s="591"/>
      <c r="F55" s="662">
        <v>160000</v>
      </c>
      <c r="G55" s="661">
        <v>560000</v>
      </c>
      <c r="H55" s="661">
        <v>308920</v>
      </c>
      <c r="I55" s="591"/>
      <c r="J55" s="663"/>
      <c r="K55" s="592"/>
      <c r="L55" s="592"/>
      <c r="M55" s="591">
        <v>10000</v>
      </c>
      <c r="N55" s="837">
        <f>SUM(C55:M55)</f>
        <v>1773920</v>
      </c>
      <c r="O55" s="593">
        <f>SUM(P55:Q55)</f>
        <v>1773920</v>
      </c>
      <c r="P55" s="594">
        <f>D55+F55+G55+H55</f>
        <v>1763920</v>
      </c>
      <c r="Q55" s="595">
        <f>M55</f>
        <v>10000</v>
      </c>
      <c r="R55" s="596"/>
      <c r="S55" s="594">
        <v>570000</v>
      </c>
      <c r="T55" s="597">
        <v>0</v>
      </c>
      <c r="U55" s="598">
        <v>260000</v>
      </c>
      <c r="V55" s="593"/>
      <c r="W55" s="599">
        <v>48920</v>
      </c>
    </row>
    <row r="56" spans="1:24" ht="15.75" thickBot="1" x14ac:dyDescent="0.3">
      <c r="A56" s="715" t="s">
        <v>537</v>
      </c>
      <c r="B56" s="716"/>
      <c r="C56" s="594"/>
      <c r="D56" s="595"/>
      <c r="E56" s="598"/>
      <c r="F56" s="594">
        <v>190000</v>
      </c>
      <c r="G56" s="595">
        <v>15000</v>
      </c>
      <c r="H56" s="595"/>
      <c r="I56" s="598"/>
      <c r="J56" s="593"/>
      <c r="K56" s="599"/>
      <c r="L56" s="592"/>
      <c r="M56" s="591"/>
      <c r="N56" s="837">
        <f>SUM(C56:M56)</f>
        <v>205000</v>
      </c>
      <c r="O56" s="593">
        <f>SUM(P56:Q56)</f>
        <v>205000</v>
      </c>
      <c r="P56" s="594">
        <f>F56+G56+D56</f>
        <v>205000</v>
      </c>
      <c r="Q56" s="595">
        <f>M56</f>
        <v>0</v>
      </c>
      <c r="R56" s="596"/>
      <c r="S56" s="594">
        <v>10000</v>
      </c>
      <c r="T56" s="597">
        <v>5000</v>
      </c>
      <c r="U56" s="598"/>
      <c r="V56" s="593"/>
      <c r="W56" s="599"/>
    </row>
    <row r="57" spans="1:24" s="350" customFormat="1" ht="32.25" customHeight="1" thickBot="1" x14ac:dyDescent="0.3">
      <c r="A57" s="717" t="s">
        <v>538</v>
      </c>
      <c r="B57" s="718"/>
      <c r="C57" s="483">
        <f>C54+C55+C56</f>
        <v>11611641</v>
      </c>
      <c r="D57" s="482">
        <f>D54+D55+D56</f>
        <v>10942266</v>
      </c>
      <c r="E57" s="484">
        <f t="shared" ref="E57:M57" si="18">E54+E55+E56</f>
        <v>1404375</v>
      </c>
      <c r="F57" s="483">
        <f t="shared" si="18"/>
        <v>2983845</v>
      </c>
      <c r="G57" s="482">
        <f t="shared" si="18"/>
        <v>1748562</v>
      </c>
      <c r="H57" s="482">
        <f t="shared" si="18"/>
        <v>905790</v>
      </c>
      <c r="I57" s="484">
        <f t="shared" si="18"/>
        <v>800000</v>
      </c>
      <c r="J57" s="485">
        <f t="shared" si="18"/>
        <v>16815918</v>
      </c>
      <c r="K57" s="568">
        <f t="shared" si="18"/>
        <v>12660722</v>
      </c>
      <c r="L57" s="485"/>
      <c r="M57" s="486">
        <f t="shared" si="18"/>
        <v>1566145</v>
      </c>
      <c r="N57" s="486">
        <f>N54+N55+N56</f>
        <v>20350983</v>
      </c>
      <c r="O57" s="485">
        <f>O54+O55+O56</f>
        <v>18918871</v>
      </c>
      <c r="P57" s="664">
        <f>P54+P55+P56</f>
        <v>18244714</v>
      </c>
      <c r="Q57" s="651">
        <f>Q54+Q55+Q56</f>
        <v>674157</v>
      </c>
      <c r="R57" s="665"/>
      <c r="S57" s="797">
        <f>S56+S55+S54+U54+U55+T54+T56+T55</f>
        <v>2344650</v>
      </c>
      <c r="T57" s="798"/>
      <c r="U57" s="799"/>
      <c r="V57" s="677">
        <f>V54+V55</f>
        <v>497000</v>
      </c>
      <c r="W57" s="670">
        <f>W54+W55</f>
        <v>118697</v>
      </c>
      <c r="X57" s="487"/>
    </row>
    <row r="58" spans="1:24" s="350" customFormat="1" ht="16.5" thickBot="1" x14ac:dyDescent="0.3">
      <c r="A58" s="803" t="s">
        <v>542</v>
      </c>
      <c r="B58" s="804"/>
      <c r="C58" s="483"/>
      <c r="D58" s="482"/>
      <c r="E58" s="484"/>
      <c r="F58" s="483"/>
      <c r="G58" s="482"/>
      <c r="H58" s="482"/>
      <c r="I58" s="484"/>
      <c r="J58" s="485"/>
      <c r="K58" s="518"/>
      <c r="L58" s="568"/>
      <c r="M58" s="484"/>
      <c r="N58" s="486">
        <f>SUM(C58:M58)</f>
        <v>0</v>
      </c>
      <c r="O58" s="485">
        <f>SUM(P58:R58)</f>
        <v>21761624</v>
      </c>
      <c r="P58" s="664">
        <f>12700352+9000-15000+87000+79485+1603+102000+2000-152000-6648-2500-5690-6500-2700</f>
        <v>12790402</v>
      </c>
      <c r="Q58" s="651">
        <f>7356180+184000+70000+18814+27000-13012+5690+6500+2700</f>
        <v>7657872</v>
      </c>
      <c r="R58" s="665">
        <v>1313350</v>
      </c>
      <c r="S58" s="797">
        <f>28853434+2000+100000+9000-5604-200000-2500</f>
        <v>28756330</v>
      </c>
      <c r="T58" s="798"/>
      <c r="U58" s="799"/>
      <c r="V58" s="669">
        <f>4464200+184000+27000-92000+8000+70000</f>
        <v>4661200</v>
      </c>
      <c r="W58" s="670">
        <f>3975000+327618</f>
        <v>4302618</v>
      </c>
      <c r="X58" s="487"/>
    </row>
    <row r="59" spans="1:24" s="430" customFormat="1" ht="33.75" customHeight="1" thickBot="1" x14ac:dyDescent="0.35">
      <c r="A59" s="791" t="s">
        <v>543</v>
      </c>
      <c r="B59" s="792"/>
      <c r="C59" s="792"/>
      <c r="D59" s="792"/>
      <c r="E59" s="792"/>
      <c r="F59" s="792"/>
      <c r="G59" s="792"/>
      <c r="H59" s="792"/>
      <c r="I59" s="792"/>
      <c r="J59" s="792"/>
      <c r="K59" s="792"/>
      <c r="L59" s="792"/>
      <c r="M59" s="792"/>
      <c r="N59" s="792"/>
      <c r="O59" s="793"/>
      <c r="P59" s="666">
        <f>P57+P58</f>
        <v>31035116</v>
      </c>
      <c r="Q59" s="667">
        <f>Q57+Q58</f>
        <v>8332029</v>
      </c>
      <c r="R59" s="668">
        <f>R57+R58</f>
        <v>1313350</v>
      </c>
      <c r="S59" s="800">
        <f>S57+S58</f>
        <v>31100980</v>
      </c>
      <c r="T59" s="801"/>
      <c r="U59" s="802"/>
      <c r="V59" s="671">
        <f>V57+V58</f>
        <v>5158200</v>
      </c>
      <c r="W59" s="672">
        <f>W57+W58</f>
        <v>4421315</v>
      </c>
      <c r="X59" s="488"/>
    </row>
    <row r="60" spans="1:24" ht="19.5" thickBot="1" x14ac:dyDescent="0.35">
      <c r="A60" s="794"/>
      <c r="B60" s="795"/>
      <c r="C60" s="795"/>
      <c r="D60" s="795"/>
      <c r="E60" s="795"/>
      <c r="F60" s="795"/>
      <c r="G60" s="795"/>
      <c r="H60" s="795"/>
      <c r="I60" s="795"/>
      <c r="J60" s="795"/>
      <c r="K60" s="795"/>
      <c r="L60" s="795"/>
      <c r="M60" s="795"/>
      <c r="N60" s="795"/>
      <c r="O60" s="796"/>
      <c r="P60" s="788">
        <f>SUM(P59:R59)</f>
        <v>40680495</v>
      </c>
      <c r="Q60" s="808"/>
      <c r="R60" s="809"/>
      <c r="S60" s="788">
        <f>SUM(S59:W59)</f>
        <v>40680495</v>
      </c>
      <c r="T60" s="789"/>
      <c r="U60" s="789"/>
      <c r="V60" s="789"/>
      <c r="W60" s="790"/>
    </row>
    <row r="61" spans="1:24" ht="15.75" thickBot="1" x14ac:dyDescent="0.3">
      <c r="P61" s="805">
        <f>S60-P60</f>
        <v>0</v>
      </c>
      <c r="Q61" s="806"/>
      <c r="R61" s="806"/>
      <c r="S61" s="806"/>
      <c r="T61" s="806"/>
      <c r="U61" s="806"/>
      <c r="V61" s="806"/>
      <c r="W61" s="807"/>
    </row>
    <row r="62" spans="1:24" x14ac:dyDescent="0.25">
      <c r="P62" s="673">
        <f>'sumár '!B5</f>
        <v>31035116</v>
      </c>
      <c r="Q62" s="674">
        <f>'sumár '!B9</f>
        <v>8332029</v>
      </c>
      <c r="R62" s="675">
        <f>'sumár '!B13</f>
        <v>1313350</v>
      </c>
      <c r="S62" s="787">
        <f>'sumár '!B4</f>
        <v>31100980</v>
      </c>
      <c r="T62" s="787"/>
      <c r="U62" s="787"/>
      <c r="V62" s="674">
        <f>'sumár '!B8</f>
        <v>5158200</v>
      </c>
      <c r="W62" s="675">
        <f>'sumár '!B12</f>
        <v>4421315</v>
      </c>
    </row>
  </sheetData>
  <mergeCells count="36">
    <mergeCell ref="S62:U62"/>
    <mergeCell ref="S60:W60"/>
    <mergeCell ref="A59:O60"/>
    <mergeCell ref="S57:U57"/>
    <mergeCell ref="S58:U58"/>
    <mergeCell ref="S59:U59"/>
    <mergeCell ref="A58:B58"/>
    <mergeCell ref="P61:W61"/>
    <mergeCell ref="P60:R60"/>
    <mergeCell ref="A1:W1"/>
    <mergeCell ref="S6:U6"/>
    <mergeCell ref="S2:W4"/>
    <mergeCell ref="A55:B55"/>
    <mergeCell ref="N2:N6"/>
    <mergeCell ref="D4:E4"/>
    <mergeCell ref="F4:F6"/>
    <mergeCell ref="O2:R4"/>
    <mergeCell ref="P5:R5"/>
    <mergeCell ref="C2:K2"/>
    <mergeCell ref="L3:L6"/>
    <mergeCell ref="A2:A6"/>
    <mergeCell ref="B2:B6"/>
    <mergeCell ref="K4:K6"/>
    <mergeCell ref="D5:D6"/>
    <mergeCell ref="E5:E6"/>
    <mergeCell ref="A56:B56"/>
    <mergeCell ref="A57:B57"/>
    <mergeCell ref="M3:M6"/>
    <mergeCell ref="A54:B54"/>
    <mergeCell ref="H4:H6"/>
    <mergeCell ref="G4:G6"/>
    <mergeCell ref="I3:I6"/>
    <mergeCell ref="C3:E3"/>
    <mergeCell ref="F3:H3"/>
    <mergeCell ref="J3:J6"/>
    <mergeCell ref="C4:C6"/>
  </mergeCells>
  <pageMargins left="0.7" right="0.7" top="0.75" bottom="0.75" header="0.3" footer="0.3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Rozpočet celkový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Mesto Sala</cp:lastModifiedBy>
  <cp:lastPrinted>2026-05-27T10:36:27Z</cp:lastPrinted>
  <dcterms:created xsi:type="dcterms:W3CDTF">2013-01-26T12:47:58Z</dcterms:created>
  <dcterms:modified xsi:type="dcterms:W3CDTF">2026-05-28T08:34:04Z</dcterms:modified>
</cp:coreProperties>
</file>