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Október 2024\"/>
    </mc:Choice>
  </mc:AlternateContent>
  <xr:revisionPtr revIDLastSave="0" documentId="13_ncr:1_{5B0B9FDD-9A27-4F37-B098-958A51EE1266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81" i="5"/>
  <c r="C84" i="5"/>
  <c r="M48" i="13" l="1"/>
  <c r="M21" i="13"/>
  <c r="G21" i="13"/>
  <c r="C15" i="12"/>
  <c r="C109" i="5" l="1"/>
  <c r="O29" i="13"/>
  <c r="O43" i="13"/>
  <c r="O44" i="13"/>
  <c r="O45" i="13"/>
  <c r="E51" i="13"/>
  <c r="P55" i="13"/>
  <c r="P29" i="13"/>
  <c r="P43" i="13"/>
  <c r="E29" i="13"/>
  <c r="E16" i="13"/>
  <c r="E15" i="13"/>
  <c r="E12" i="13"/>
  <c r="E11" i="13"/>
  <c r="E10" i="13"/>
  <c r="E22" i="13"/>
  <c r="E19" i="13"/>
  <c r="E49" i="13"/>
  <c r="P44" i="13"/>
  <c r="E14" i="13"/>
  <c r="E24" i="13"/>
  <c r="E21" i="13"/>
  <c r="E20" i="13"/>
  <c r="P45" i="13"/>
  <c r="E23" i="13"/>
  <c r="D49" i="13"/>
  <c r="C9" i="12" l="1"/>
  <c r="C3" i="12"/>
  <c r="M23" i="13" l="1"/>
  <c r="Q23" i="13" s="1"/>
  <c r="F23" i="13"/>
  <c r="Q55" i="13" l="1"/>
  <c r="G22" i="13"/>
  <c r="Q11" i="13"/>
  <c r="M11" i="13"/>
  <c r="F11" i="13"/>
  <c r="E46" i="13"/>
  <c r="E42" i="13"/>
  <c r="M49" i="13"/>
  <c r="F17" i="13"/>
  <c r="F26" i="13"/>
  <c r="U21" i="13"/>
  <c r="U19" i="13"/>
  <c r="E38" i="13"/>
  <c r="L25" i="13"/>
  <c r="L18" i="13"/>
  <c r="L9" i="13"/>
  <c r="L7" i="13" s="1"/>
  <c r="I49" i="13"/>
  <c r="C18" i="5" l="1"/>
  <c r="D29" i="12" l="1"/>
  <c r="C29" i="12" l="1"/>
  <c r="K181" i="6" l="1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59" i="6"/>
  <c r="J58" i="6"/>
  <c r="J57" i="6"/>
  <c r="J56" i="6"/>
  <c r="J51" i="6"/>
  <c r="J50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6" i="6"/>
  <c r="J15" i="6"/>
  <c r="J13" i="6"/>
  <c r="J12" i="6"/>
  <c r="J10" i="6"/>
  <c r="I181" i="6"/>
  <c r="I172" i="6"/>
  <c r="I169" i="6"/>
  <c r="I164" i="6"/>
  <c r="I160" i="6"/>
  <c r="I158" i="6"/>
  <c r="I155" i="6"/>
  <c r="I139" i="6"/>
  <c r="I138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6" i="6"/>
  <c r="I84" i="6"/>
  <c r="I79" i="6"/>
  <c r="I78" i="6"/>
  <c r="I74" i="6"/>
  <c r="I73" i="6"/>
  <c r="I70" i="6"/>
  <c r="I67" i="6"/>
  <c r="I64" i="6"/>
  <c r="I58" i="6"/>
  <c r="I51" i="6"/>
  <c r="I50" i="6"/>
  <c r="I45" i="6"/>
  <c r="I43" i="6"/>
  <c r="I41" i="6"/>
  <c r="I34" i="6"/>
  <c r="I30" i="6"/>
  <c r="I29" i="6"/>
  <c r="I28" i="6"/>
  <c r="I27" i="6"/>
  <c r="I25" i="6"/>
  <c r="I24" i="6"/>
  <c r="I21" i="6"/>
  <c r="I20" i="6"/>
  <c r="I19" i="6"/>
  <c r="I16" i="6"/>
  <c r="I15" i="6"/>
  <c r="I13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5" i="6"/>
  <c r="F134" i="6"/>
  <c r="F132" i="6"/>
  <c r="F119" i="6"/>
  <c r="F117" i="6"/>
  <c r="F116" i="6"/>
  <c r="F115" i="6"/>
  <c r="F114" i="6"/>
  <c r="F112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6" i="6"/>
  <c r="F15" i="6"/>
  <c r="F13" i="6"/>
  <c r="F12" i="6"/>
  <c r="F11" i="6"/>
  <c r="F10" i="6"/>
  <c r="E181" i="6"/>
  <c r="E175" i="6"/>
  <c r="E174" i="6"/>
  <c r="E172" i="6"/>
  <c r="E164" i="6"/>
  <c r="E160" i="6"/>
  <c r="E156" i="6"/>
  <c r="E155" i="6"/>
  <c r="E139" i="6"/>
  <c r="E138" i="6"/>
  <c r="E137" i="6"/>
  <c r="E135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4" i="6"/>
  <c r="E92" i="6"/>
  <c r="E90" i="6"/>
  <c r="E86" i="6"/>
  <c r="E79" i="6"/>
  <c r="E78" i="6"/>
  <c r="E75" i="6"/>
  <c r="E74" i="6"/>
  <c r="E73" i="6"/>
  <c r="E67" i="6"/>
  <c r="E66" i="6"/>
  <c r="E64" i="6"/>
  <c r="E61" i="6"/>
  <c r="E58" i="6"/>
  <c r="E56" i="6"/>
  <c r="E51" i="6"/>
  <c r="E50" i="6"/>
  <c r="E47" i="6"/>
  <c r="E45" i="6"/>
  <c r="E44" i="6"/>
  <c r="E43" i="6"/>
  <c r="E40" i="6"/>
  <c r="E38" i="6"/>
  <c r="E37" i="6"/>
  <c r="E34" i="6"/>
  <c r="E31" i="6"/>
  <c r="E30" i="6"/>
  <c r="E29" i="6"/>
  <c r="E28" i="6"/>
  <c r="E27" i="6"/>
  <c r="E25" i="6"/>
  <c r="E24" i="6"/>
  <c r="E21" i="6"/>
  <c r="E20" i="6"/>
  <c r="E19" i="6"/>
  <c r="E17" i="6"/>
  <c r="E16" i="6"/>
  <c r="E13" i="6"/>
  <c r="E12" i="6"/>
  <c r="E11" i="6"/>
  <c r="K113" i="6" l="1"/>
  <c r="D112" i="6" l="1"/>
  <c r="D100" i="6"/>
  <c r="D175" i="6"/>
  <c r="J173" i="6"/>
  <c r="K173" i="6"/>
  <c r="G173" i="6"/>
  <c r="E173" i="6"/>
  <c r="H172" i="6"/>
  <c r="D160" i="6"/>
  <c r="F157" i="6"/>
  <c r="G153" i="6"/>
  <c r="D139" i="6"/>
  <c r="D119" i="6"/>
  <c r="J113" i="6"/>
  <c r="D115" i="6"/>
  <c r="E113" i="6"/>
  <c r="I113" i="6"/>
  <c r="G113" i="6"/>
  <c r="D108" i="6"/>
  <c r="H99" i="6"/>
  <c r="D98" i="6"/>
  <c r="K93" i="6"/>
  <c r="I93" i="6"/>
  <c r="E93" i="6"/>
  <c r="G93" i="6"/>
  <c r="G91" i="6" s="1"/>
  <c r="I88" i="6"/>
  <c r="G88" i="6"/>
  <c r="F88" i="6"/>
  <c r="G77" i="6"/>
  <c r="J72" i="6"/>
  <c r="G72" i="6"/>
  <c r="F72" i="6"/>
  <c r="I72" i="6"/>
  <c r="D61" i="6"/>
  <c r="K48" i="6"/>
  <c r="D45" i="6"/>
  <c r="G32" i="6"/>
  <c r="D29" i="6"/>
  <c r="D25" i="6"/>
  <c r="D19" i="6"/>
  <c r="H16" i="6"/>
  <c r="H15" i="6"/>
  <c r="D12" i="6"/>
  <c r="D11" i="6"/>
  <c r="C106" i="5"/>
  <c r="B106" i="5"/>
  <c r="C97" i="5"/>
  <c r="B97" i="5"/>
  <c r="C94" i="5"/>
  <c r="B94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K91" i="6"/>
  <c r="H100" i="6"/>
  <c r="H102" i="6"/>
  <c r="J167" i="6"/>
  <c r="K97" i="6"/>
  <c r="K153" i="6"/>
  <c r="H117" i="6"/>
  <c r="H13" i="6"/>
  <c r="D110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G48" i="6"/>
  <c r="G46" i="6" s="1"/>
  <c r="G53" i="6"/>
  <c r="J65" i="6"/>
  <c r="J69" i="6"/>
  <c r="J68" i="6" s="1"/>
  <c r="J153" i="6"/>
  <c r="J23" i="6"/>
  <c r="H25" i="6"/>
  <c r="J39" i="6"/>
  <c r="J36" i="6" s="1"/>
  <c r="H155" i="6"/>
  <c r="H104" i="6"/>
  <c r="H27" i="6"/>
  <c r="G39" i="6"/>
  <c r="G36" i="6" s="1"/>
  <c r="H43" i="6"/>
  <c r="H98" i="6"/>
  <c r="G106" i="6"/>
  <c r="D155" i="6"/>
  <c r="H169" i="6"/>
  <c r="F9" i="6"/>
  <c r="H20" i="6"/>
  <c r="D101" i="6"/>
  <c r="H139" i="6"/>
  <c r="G157" i="6"/>
  <c r="D164" i="6"/>
  <c r="K9" i="6"/>
  <c r="G9" i="6"/>
  <c r="K23" i="6"/>
  <c r="G23" i="6"/>
  <c r="G22" i="6" s="1"/>
  <c r="F32" i="6"/>
  <c r="K65" i="6"/>
  <c r="I97" i="6"/>
  <c r="J162" i="6"/>
  <c r="G97" i="6"/>
  <c r="H105" i="6"/>
  <c r="K106" i="6"/>
  <c r="H138" i="6"/>
  <c r="K157" i="6"/>
  <c r="K162" i="6"/>
  <c r="D38" i="6"/>
  <c r="D74" i="6"/>
  <c r="K77" i="6"/>
  <c r="H90" i="6"/>
  <c r="E97" i="6"/>
  <c r="H114" i="6"/>
  <c r="H119" i="6"/>
  <c r="D137" i="6"/>
  <c r="G162" i="6"/>
  <c r="H181" i="6"/>
  <c r="H34" i="6"/>
  <c r="D117" i="6"/>
  <c r="D50" i="6"/>
  <c r="H51" i="6"/>
  <c r="D73" i="6"/>
  <c r="H24" i="6"/>
  <c r="H28" i="6"/>
  <c r="J3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G133" i="6"/>
  <c r="G131" i="6" s="1"/>
  <c r="H160" i="6"/>
  <c r="H30" i="6"/>
  <c r="K39" i="6"/>
  <c r="K36" i="6" s="1"/>
  <c r="D99" i="6"/>
  <c r="F153" i="6"/>
  <c r="K60" i="6"/>
  <c r="F69" i="6"/>
  <c r="F68" i="6" s="1"/>
  <c r="H101" i="6"/>
  <c r="D105" i="6"/>
  <c r="F167" i="6"/>
  <c r="F48" i="6"/>
  <c r="F46" i="6" s="1"/>
  <c r="K69" i="6"/>
  <c r="D86" i="6"/>
  <c r="E91" i="6"/>
  <c r="H29" i="6"/>
  <c r="D37" i="6"/>
  <c r="D58" i="6"/>
  <c r="F85" i="6"/>
  <c r="K32" i="6"/>
  <c r="F53" i="6"/>
  <c r="D78" i="6"/>
  <c r="D90" i="6"/>
  <c r="D109" i="6"/>
  <c r="K14" i="6"/>
  <c r="D34" i="6"/>
  <c r="F77" i="6"/>
  <c r="D94" i="6"/>
  <c r="D93" i="6" s="1"/>
  <c r="D103" i="6"/>
  <c r="H115" i="6"/>
  <c r="D138" i="6"/>
  <c r="F162" i="6"/>
  <c r="D21" i="6"/>
  <c r="D30" i="6"/>
  <c r="H86" i="6"/>
  <c r="H158" i="6"/>
  <c r="F23" i="6"/>
  <c r="H58" i="6"/>
  <c r="D66" i="6"/>
  <c r="H67" i="6"/>
  <c r="D13" i="6"/>
  <c r="D16" i="6"/>
  <c r="F65" i="6"/>
  <c r="H78" i="6"/>
  <c r="F93" i="6"/>
  <c r="F91" i="6" s="1"/>
  <c r="J97" i="6"/>
  <c r="H50" i="6"/>
  <c r="E65" i="6"/>
  <c r="H70" i="6"/>
  <c r="F173" i="6"/>
  <c r="D174" i="6"/>
  <c r="D173" i="6" s="1"/>
  <c r="K46" i="6"/>
  <c r="D20" i="6"/>
  <c r="H21" i="6"/>
  <c r="D24" i="6"/>
  <c r="D28" i="6"/>
  <c r="D40" i="6"/>
  <c r="D44" i="6"/>
  <c r="D56" i="6"/>
  <c r="D64" i="6"/>
  <c r="E72" i="6"/>
  <c r="H73" i="6"/>
  <c r="K53" i="6"/>
  <c r="J93" i="6"/>
  <c r="J91" i="6" s="1"/>
  <c r="H94" i="6"/>
  <c r="H93" i="6" s="1"/>
  <c r="D27" i="6"/>
  <c r="D31" i="6"/>
  <c r="D47" i="6"/>
  <c r="D51" i="6"/>
  <c r="H64" i="6"/>
  <c r="D67" i="6"/>
  <c r="D75" i="6"/>
  <c r="D79" i="6"/>
  <c r="F97" i="6"/>
  <c r="D102" i="6"/>
  <c r="F113" i="6"/>
  <c r="D114" i="6"/>
  <c r="D113" i="6" s="1"/>
  <c r="H19" i="6"/>
  <c r="C4" i="5"/>
  <c r="C26" i="7" s="1"/>
  <c r="B4" i="5"/>
  <c r="B26" i="7" s="1"/>
  <c r="B93" i="5"/>
  <c r="B8" i="7" s="1"/>
  <c r="C29" i="5"/>
  <c r="C93" i="5"/>
  <c r="C8" i="7" s="1"/>
  <c r="B17" i="5"/>
  <c r="B36" i="7" l="1"/>
  <c r="H72" i="6"/>
  <c r="C17" i="5"/>
  <c r="C3" i="5" s="1"/>
  <c r="C27" i="7"/>
  <c r="K152" i="6"/>
  <c r="K95" i="6"/>
  <c r="K68" i="6"/>
  <c r="K8" i="6"/>
  <c r="J152" i="6"/>
  <c r="J22" i="6"/>
  <c r="H113" i="6"/>
  <c r="H97" i="6"/>
  <c r="G52" i="6"/>
  <c r="F76" i="6"/>
  <c r="F52" i="6"/>
  <c r="F22" i="6"/>
  <c r="G95" i="6"/>
  <c r="G8" i="6"/>
  <c r="G152" i="6"/>
  <c r="D72" i="6"/>
  <c r="D65" i="6"/>
  <c r="F152" i="6"/>
  <c r="D91" i="6"/>
  <c r="K22" i="6"/>
  <c r="K76" i="6"/>
  <c r="D97" i="6"/>
  <c r="K52" i="6"/>
  <c r="B3" i="5"/>
  <c r="C36" i="7" l="1"/>
  <c r="C114" i="5"/>
  <c r="C4" i="7"/>
  <c r="B114" i="5"/>
  <c r="B4" i="7"/>
  <c r="C21" i="7" l="1"/>
  <c r="C16" i="7"/>
  <c r="B16" i="7"/>
  <c r="B21" i="7"/>
  <c r="N48" i="13" l="1"/>
  <c r="C49" i="13" l="1"/>
  <c r="P52" i="13" l="1"/>
  <c r="V54" i="13" l="1"/>
  <c r="Q53" i="13"/>
  <c r="P41" i="13" l="1"/>
  <c r="P34" i="13"/>
  <c r="P33" i="13"/>
  <c r="P46" i="13"/>
  <c r="P27" i="13"/>
  <c r="P26" i="13"/>
  <c r="P38" i="13"/>
  <c r="P31" i="13"/>
  <c r="P32" i="13"/>
  <c r="P35" i="13"/>
  <c r="P36" i="13"/>
  <c r="P37" i="13"/>
  <c r="P39" i="13"/>
  <c r="P40" i="13"/>
  <c r="P42" i="13"/>
  <c r="P47" i="13"/>
  <c r="P30" i="13"/>
  <c r="O46" i="13" l="1"/>
  <c r="Q52" i="13" l="1"/>
  <c r="K19" i="13"/>
  <c r="P19" i="13" s="1"/>
  <c r="O36" i="13" l="1"/>
  <c r="O35" i="13"/>
  <c r="J49" i="13" l="1"/>
  <c r="N49" i="13" l="1"/>
  <c r="T25" i="13"/>
  <c r="T18" i="13"/>
  <c r="T9" i="13"/>
  <c r="T51" i="13" l="1"/>
  <c r="T7" i="13"/>
  <c r="M18" i="13" l="1"/>
  <c r="V56" i="13" l="1"/>
  <c r="R56" i="13"/>
  <c r="O55" i="13"/>
  <c r="N55" i="13"/>
  <c r="N53" i="13"/>
  <c r="P53" i="13"/>
  <c r="O53" i="13" s="1"/>
  <c r="N52" i="13"/>
  <c r="W25" i="13"/>
  <c r="W18" i="13"/>
  <c r="W9" i="13"/>
  <c r="W51" i="13" s="1"/>
  <c r="U25" i="13"/>
  <c r="U18" i="13"/>
  <c r="U9" i="13"/>
  <c r="S25" i="13"/>
  <c r="S18" i="13"/>
  <c r="S9" i="13"/>
  <c r="W7" i="13" l="1"/>
  <c r="U7" i="13"/>
  <c r="U51" i="13"/>
  <c r="S7" i="13"/>
  <c r="O52" i="13"/>
  <c r="S51" i="13"/>
  <c r="S54" i="13" l="1"/>
  <c r="S56" i="13" s="1"/>
  <c r="W54" i="13"/>
  <c r="W56" i="13" s="1"/>
  <c r="S57" i="13" l="1"/>
  <c r="J13" i="13" l="1"/>
  <c r="I18" i="13"/>
  <c r="I9" i="13"/>
  <c r="I51" i="13" l="1"/>
  <c r="I54" i="13"/>
  <c r="I50" i="13"/>
  <c r="I7" i="13"/>
  <c r="F9" i="13" l="1"/>
  <c r="E54" i="13"/>
  <c r="Q48" i="13" l="1"/>
  <c r="O47" i="13"/>
  <c r="O42" i="13"/>
  <c r="O40" i="13"/>
  <c r="O39" i="13"/>
  <c r="O38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K17" i="13"/>
  <c r="C17" i="13"/>
  <c r="J17" i="13" s="1"/>
  <c r="N17" i="13" s="1"/>
  <c r="K16" i="13"/>
  <c r="P16" i="13" s="1"/>
  <c r="C16" i="13"/>
  <c r="K15" i="13"/>
  <c r="P15" i="13" s="1"/>
  <c r="C15" i="13"/>
  <c r="K14" i="13"/>
  <c r="P14" i="13" s="1"/>
  <c r="O14" i="13" s="1"/>
  <c r="C14" i="13"/>
  <c r="N13" i="13"/>
  <c r="K13" i="13"/>
  <c r="P13" i="13" s="1"/>
  <c r="K12" i="13"/>
  <c r="P12" i="13" s="1"/>
  <c r="O12" i="13" s="1"/>
  <c r="C12" i="13"/>
  <c r="K11" i="13"/>
  <c r="P11" i="13" s="1"/>
  <c r="C11" i="13"/>
  <c r="J11" i="13" s="1"/>
  <c r="K10" i="13"/>
  <c r="P10" i="13" s="1"/>
  <c r="C10" i="13"/>
  <c r="J10" i="13" s="1"/>
  <c r="N10" i="13" s="1"/>
  <c r="M9" i="13"/>
  <c r="H9" i="13"/>
  <c r="G9" i="13"/>
  <c r="E9" i="13"/>
  <c r="J8" i="13"/>
  <c r="H51" i="13" l="1"/>
  <c r="G48" i="13"/>
  <c r="P48" i="13" s="1"/>
  <c r="O48" i="13" s="1"/>
  <c r="O7" i="13" s="1"/>
  <c r="G51" i="13"/>
  <c r="G54" i="13" s="1"/>
  <c r="F51" i="13"/>
  <c r="F54" i="13" s="1"/>
  <c r="D51" i="13"/>
  <c r="D54" i="13" s="1"/>
  <c r="M7" i="13"/>
  <c r="M51" i="13"/>
  <c r="M54" i="13" s="1"/>
  <c r="O37" i="13"/>
  <c r="E7" i="13"/>
  <c r="O41" i="13"/>
  <c r="O30" i="13"/>
  <c r="O13" i="13"/>
  <c r="O16" i="13"/>
  <c r="H54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N12" i="13" s="1"/>
  <c r="F7" i="13"/>
  <c r="D7" i="13"/>
  <c r="Q9" i="13"/>
  <c r="Q25" i="13"/>
  <c r="O27" i="13"/>
  <c r="O22" i="13"/>
  <c r="Q18" i="13"/>
  <c r="K9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50" i="13"/>
  <c r="P50" i="13" s="1"/>
  <c r="C51" i="13" l="1"/>
  <c r="C54" i="13" s="1"/>
  <c r="Q7" i="13"/>
  <c r="N18" i="13"/>
  <c r="P51" i="13"/>
  <c r="O9" i="13"/>
  <c r="K7" i="13"/>
  <c r="Q51" i="13"/>
  <c r="J18" i="13"/>
  <c r="O18" i="13"/>
  <c r="O25" i="13"/>
  <c r="K51" i="13"/>
  <c r="K54" i="13" s="1"/>
  <c r="J9" i="13"/>
  <c r="C7" i="13"/>
  <c r="O50" i="13"/>
  <c r="P7" i="13"/>
  <c r="N9" i="13"/>
  <c r="J7" i="13" l="1"/>
  <c r="N51" i="13"/>
  <c r="N54" i="13" s="1"/>
  <c r="N7" i="13"/>
  <c r="Q54" i="13"/>
  <c r="Q56" i="13" s="1"/>
  <c r="P54" i="13"/>
  <c r="P56" i="13" s="1"/>
  <c r="J51" i="13"/>
  <c r="J54" i="13" s="1"/>
  <c r="O51" i="13"/>
  <c r="O54" i="13" s="1"/>
  <c r="P57" i="13" l="1"/>
  <c r="P58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K151" i="6" l="1"/>
  <c r="J151" i="6"/>
  <c r="I151" i="6"/>
  <c r="G151" i="6"/>
  <c r="F151" i="6"/>
  <c r="E151" i="6"/>
  <c r="K150" i="6"/>
  <c r="J150" i="6"/>
  <c r="G150" i="6"/>
  <c r="K149" i="6"/>
  <c r="J149" i="6"/>
  <c r="G149" i="6"/>
  <c r="K148" i="6"/>
  <c r="J148" i="6"/>
  <c r="I148" i="6"/>
  <c r="G148" i="6"/>
  <c r="F148" i="6"/>
  <c r="K147" i="6"/>
  <c r="J147" i="6"/>
  <c r="G147" i="6"/>
  <c r="F147" i="6"/>
  <c r="E147" i="6"/>
  <c r="K146" i="6"/>
  <c r="J146" i="6"/>
  <c r="I146" i="6"/>
  <c r="G146" i="6"/>
  <c r="F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G143" i="6"/>
  <c r="F143" i="6"/>
  <c r="K142" i="6"/>
  <c r="J142" i="6"/>
  <c r="G142" i="6"/>
  <c r="K130" i="6"/>
  <c r="J130" i="6"/>
  <c r="I130" i="6"/>
  <c r="G130" i="6"/>
  <c r="F130" i="6"/>
  <c r="E130" i="6"/>
  <c r="K129" i="6"/>
  <c r="J129" i="6"/>
  <c r="G129" i="6"/>
  <c r="F129" i="6"/>
  <c r="E129" i="6"/>
  <c r="K128" i="6"/>
  <c r="I128" i="6"/>
  <c r="G128" i="6"/>
  <c r="F128" i="6"/>
  <c r="E128" i="6"/>
  <c r="K127" i="6"/>
  <c r="J127" i="6"/>
  <c r="G127" i="6"/>
  <c r="F127" i="6"/>
  <c r="K126" i="6"/>
  <c r="J126" i="6"/>
  <c r="G126" i="6"/>
  <c r="F126" i="6"/>
  <c r="E126" i="6"/>
  <c r="K125" i="6"/>
  <c r="J125" i="6"/>
  <c r="G125" i="6"/>
  <c r="F125" i="6"/>
  <c r="E125" i="6"/>
  <c r="K124" i="6"/>
  <c r="J124" i="6"/>
  <c r="G124" i="6"/>
  <c r="F124" i="6"/>
  <c r="K123" i="6"/>
  <c r="J123" i="6"/>
  <c r="G123" i="6"/>
  <c r="F123" i="6"/>
  <c r="E123" i="6"/>
  <c r="K121" i="6"/>
  <c r="J121" i="6"/>
  <c r="I121" i="6"/>
  <c r="G121" i="6"/>
  <c r="F121" i="6"/>
  <c r="E121" i="6"/>
  <c r="I118" i="6"/>
  <c r="H118" i="6" s="1"/>
  <c r="J87" i="6"/>
  <c r="I80" i="6"/>
  <c r="E57" i="6"/>
  <c r="D57" i="6" s="1"/>
  <c r="D125" i="6" l="1"/>
  <c r="D129" i="6"/>
  <c r="H130" i="6"/>
  <c r="H151" i="6"/>
  <c r="K141" i="6"/>
  <c r="K140" i="6" s="1"/>
  <c r="F122" i="6"/>
  <c r="F120" i="6" s="1"/>
  <c r="H121" i="6"/>
  <c r="D128" i="6"/>
  <c r="D144" i="6"/>
  <c r="H145" i="6"/>
  <c r="H144" i="6"/>
  <c r="D147" i="6"/>
  <c r="H148" i="6"/>
  <c r="D151" i="6"/>
  <c r="G141" i="6"/>
  <c r="G140" i="6" s="1"/>
  <c r="J141" i="6"/>
  <c r="J140" i="6" s="1"/>
  <c r="D145" i="6"/>
  <c r="H146" i="6"/>
  <c r="K122" i="6"/>
  <c r="K120" i="6" s="1"/>
  <c r="G122" i="6"/>
  <c r="G120" i="6" s="1"/>
  <c r="D121" i="6"/>
  <c r="D126" i="6"/>
  <c r="D130" i="6"/>
  <c r="D123" i="6"/>
  <c r="J85" i="6"/>
  <c r="J89" i="6"/>
  <c r="H80" i="6"/>
  <c r="H89" i="6" l="1"/>
  <c r="H88" i="6" s="1"/>
  <c r="J88" i="6"/>
  <c r="G182" i="6" l="1"/>
  <c r="G179" i="6" s="1"/>
  <c r="F180" i="6"/>
  <c r="F179" i="6" s="1"/>
  <c r="E178" i="6"/>
  <c r="E177" i="6"/>
  <c r="D177" i="6" s="1"/>
  <c r="E176" i="6"/>
  <c r="D176" i="6" s="1"/>
  <c r="E171" i="6"/>
  <c r="D171" i="6" s="1"/>
  <c r="E170" i="6"/>
  <c r="D170" i="6" s="1"/>
  <c r="E169" i="6"/>
  <c r="D169" i="6" s="1"/>
  <c r="E168" i="6"/>
  <c r="E166" i="6"/>
  <c r="D166" i="6" s="1"/>
  <c r="E165" i="6"/>
  <c r="D165" i="6" s="1"/>
  <c r="E163" i="6"/>
  <c r="E161" i="6"/>
  <c r="D161" i="6" s="1"/>
  <c r="E159" i="6"/>
  <c r="D159" i="6" s="1"/>
  <c r="E158" i="6"/>
  <c r="E154" i="6"/>
  <c r="F150" i="6"/>
  <c r="F149" i="6"/>
  <c r="F142" i="6"/>
  <c r="E134" i="6"/>
  <c r="E118" i="6"/>
  <c r="F118" i="6"/>
  <c r="E116" i="6"/>
  <c r="F111" i="6"/>
  <c r="E87" i="6"/>
  <c r="E49" i="6"/>
  <c r="F43" i="6"/>
  <c r="E42" i="6"/>
  <c r="D42" i="6" s="1"/>
  <c r="E41" i="6"/>
  <c r="E35" i="6"/>
  <c r="D35" i="6" s="1"/>
  <c r="E33" i="6"/>
  <c r="F17" i="6"/>
  <c r="E15" i="6"/>
  <c r="G6" i="6" l="1"/>
  <c r="B13" i="7" s="1"/>
  <c r="D178" i="6"/>
  <c r="D168" i="6"/>
  <c r="D167" i="6" s="1"/>
  <c r="E167" i="6"/>
  <c r="E162" i="6"/>
  <c r="D163" i="6"/>
  <c r="D162" i="6" s="1"/>
  <c r="D158" i="6"/>
  <c r="D157" i="6" s="1"/>
  <c r="E157" i="6"/>
  <c r="D154" i="6"/>
  <c r="D153" i="6" s="1"/>
  <c r="E153" i="6"/>
  <c r="F141" i="6"/>
  <c r="F140" i="6" s="1"/>
  <c r="D134" i="6"/>
  <c r="D118" i="6"/>
  <c r="D111" i="6"/>
  <c r="D106" i="6" s="1"/>
  <c r="F106" i="6"/>
  <c r="F95" i="6" s="1"/>
  <c r="D116" i="6"/>
  <c r="E85" i="6"/>
  <c r="D87" i="6"/>
  <c r="D85" i="6" s="1"/>
  <c r="D49" i="6"/>
  <c r="D48" i="6" s="1"/>
  <c r="D46" i="6" s="1"/>
  <c r="E48" i="6"/>
  <c r="E46" i="6" s="1"/>
  <c r="F39" i="6"/>
  <c r="F36" i="6" s="1"/>
  <c r="D43" i="6"/>
  <c r="D41" i="6"/>
  <c r="E39" i="6"/>
  <c r="E36" i="6" s="1"/>
  <c r="E32" i="6"/>
  <c r="D33" i="6"/>
  <c r="D32" i="6" s="1"/>
  <c r="F14" i="6"/>
  <c r="F8" i="6" s="1"/>
  <c r="D17" i="6"/>
  <c r="D15" i="6"/>
  <c r="E14" i="6"/>
  <c r="B14" i="7" l="1"/>
  <c r="B33" i="7"/>
  <c r="E152" i="6"/>
  <c r="D152" i="6"/>
  <c r="D39" i="6"/>
  <c r="D36" i="6" s="1"/>
  <c r="D14" i="6"/>
  <c r="I37" i="6" l="1"/>
  <c r="H37" i="6" l="1"/>
  <c r="J61" i="6" l="1"/>
  <c r="J60" i="6" s="1"/>
  <c r="I61" i="6"/>
  <c r="I49" i="6"/>
  <c r="I47" i="6"/>
  <c r="I44" i="6"/>
  <c r="H44" i="6" s="1"/>
  <c r="I42" i="6"/>
  <c r="H42" i="6" s="1"/>
  <c r="I40" i="6"/>
  <c r="I38" i="6"/>
  <c r="I35" i="6"/>
  <c r="H35" i="6" s="1"/>
  <c r="I33" i="6"/>
  <c r="I31" i="6"/>
  <c r="H31" i="6" s="1"/>
  <c r="I26" i="6"/>
  <c r="E26" i="6"/>
  <c r="J18" i="6"/>
  <c r="I18" i="6"/>
  <c r="E18" i="6"/>
  <c r="I17" i="6"/>
  <c r="I11" i="6"/>
  <c r="J11" i="6"/>
  <c r="J9" i="6" s="1"/>
  <c r="I10" i="6"/>
  <c r="I66" i="6" l="1"/>
  <c r="H61" i="6"/>
  <c r="J49" i="6"/>
  <c r="J48" i="6" s="1"/>
  <c r="J46" i="6" s="1"/>
  <c r="I48" i="6"/>
  <c r="I46" i="6" s="1"/>
  <c r="H47" i="6"/>
  <c r="H40" i="6"/>
  <c r="H39" i="6" s="1"/>
  <c r="I39" i="6"/>
  <c r="I36" i="6" s="1"/>
  <c r="H38" i="6"/>
  <c r="H33" i="6"/>
  <c r="H32" i="6" s="1"/>
  <c r="I32" i="6"/>
  <c r="I23" i="6"/>
  <c r="H26" i="6"/>
  <c r="H23" i="6" s="1"/>
  <c r="E23" i="6"/>
  <c r="E22" i="6" s="1"/>
  <c r="D26" i="6"/>
  <c r="D23" i="6" s="1"/>
  <c r="D22" i="6" s="1"/>
  <c r="H18" i="6"/>
  <c r="D18" i="6"/>
  <c r="I14" i="6"/>
  <c r="H11" i="6"/>
  <c r="H10" i="6"/>
  <c r="I65" i="6" l="1"/>
  <c r="H66" i="6"/>
  <c r="H65" i="6" s="1"/>
  <c r="H49" i="6"/>
  <c r="H48" i="6" s="1"/>
  <c r="H46" i="6" s="1"/>
  <c r="H36" i="6"/>
  <c r="H22" i="6"/>
  <c r="I22" i="6"/>
  <c r="I87" i="6" l="1"/>
  <c r="I83" i="6"/>
  <c r="H83" i="6" s="1"/>
  <c r="E82" i="6"/>
  <c r="I81" i="6"/>
  <c r="I85" i="6" l="1"/>
  <c r="H87" i="6"/>
  <c r="H85" i="6" s="1"/>
  <c r="D82" i="6"/>
  <c r="H81" i="6"/>
  <c r="E148" i="6" l="1"/>
  <c r="D148" i="6" s="1"/>
  <c r="E146" i="6"/>
  <c r="I143" i="6"/>
  <c r="H143" i="6" s="1"/>
  <c r="J17" i="6"/>
  <c r="I12" i="6"/>
  <c r="J14" i="6" l="1"/>
  <c r="J8" i="6" s="1"/>
  <c r="H17" i="6"/>
  <c r="H14" i="6" s="1"/>
  <c r="H12" i="6"/>
  <c r="H9" i="6" s="1"/>
  <c r="I9" i="6"/>
  <c r="I8" i="6" s="1"/>
  <c r="D146" i="6"/>
  <c r="H8" i="6" l="1"/>
  <c r="E10" i="6" l="1"/>
  <c r="E9" i="6" l="1"/>
  <c r="E8" i="6" s="1"/>
  <c r="D10" i="6"/>
  <c r="D9" i="6" s="1"/>
  <c r="D8" i="6" s="1"/>
  <c r="E54" i="6" l="1"/>
  <c r="D54" i="6" l="1"/>
  <c r="E84" i="6" l="1"/>
  <c r="D84" i="6" s="1"/>
  <c r="E136" i="6" l="1"/>
  <c r="I135" i="6"/>
  <c r="H135" i="6" s="1"/>
  <c r="E132" i="6"/>
  <c r="E127" i="6"/>
  <c r="D127" i="6" s="1"/>
  <c r="E124" i="6"/>
  <c r="I96" i="6"/>
  <c r="E96" i="6"/>
  <c r="I92" i="6"/>
  <c r="E83" i="6"/>
  <c r="D83" i="6" s="1"/>
  <c r="I82" i="6"/>
  <c r="E81" i="6"/>
  <c r="D81" i="6" s="1"/>
  <c r="E80" i="6"/>
  <c r="J79" i="6"/>
  <c r="I75" i="6"/>
  <c r="H75" i="6" s="1"/>
  <c r="I71" i="6"/>
  <c r="E71" i="6"/>
  <c r="E70" i="6"/>
  <c r="D70" i="6" s="1"/>
  <c r="I63" i="6"/>
  <c r="H63" i="6" s="1"/>
  <c r="E63" i="6"/>
  <c r="D63" i="6" s="1"/>
  <c r="I62" i="6"/>
  <c r="E62" i="6"/>
  <c r="I59" i="6"/>
  <c r="H59" i="6" s="1"/>
  <c r="E59" i="6"/>
  <c r="D59" i="6" s="1"/>
  <c r="I57" i="6"/>
  <c r="H57" i="6" s="1"/>
  <c r="I56" i="6"/>
  <c r="H56" i="6" s="1"/>
  <c r="I55" i="6"/>
  <c r="J55" i="6"/>
  <c r="E55" i="6"/>
  <c r="I54" i="6"/>
  <c r="J54" i="6"/>
  <c r="E133" i="6" l="1"/>
  <c r="D132" i="6"/>
  <c r="E131" i="6"/>
  <c r="E122" i="6"/>
  <c r="E120" i="6" s="1"/>
  <c r="D124" i="6"/>
  <c r="D122" i="6" s="1"/>
  <c r="D120" i="6" s="1"/>
  <c r="H96" i="6"/>
  <c r="D96" i="6"/>
  <c r="D95" i="6" s="1"/>
  <c r="E95" i="6"/>
  <c r="H92" i="6"/>
  <c r="H91" i="6" s="1"/>
  <c r="I91" i="6"/>
  <c r="E89" i="6"/>
  <c r="H82" i="6"/>
  <c r="I77" i="6"/>
  <c r="I76" i="6" s="1"/>
  <c r="D80" i="6"/>
  <c r="D77" i="6" s="1"/>
  <c r="E77" i="6"/>
  <c r="J77" i="6"/>
  <c r="J76" i="6" s="1"/>
  <c r="H79" i="6"/>
  <c r="D71" i="6"/>
  <c r="D69" i="6" s="1"/>
  <c r="D68" i="6" s="1"/>
  <c r="E69" i="6"/>
  <c r="E68" i="6" s="1"/>
  <c r="I69" i="6"/>
  <c r="I68" i="6" s="1"/>
  <c r="H71" i="6"/>
  <c r="H69" i="6" s="1"/>
  <c r="H68" i="6" s="1"/>
  <c r="H62" i="6"/>
  <c r="H60" i="6" s="1"/>
  <c r="I60" i="6"/>
  <c r="D62" i="6"/>
  <c r="D60" i="6" s="1"/>
  <c r="E60" i="6"/>
  <c r="D55" i="6"/>
  <c r="D53" i="6" s="1"/>
  <c r="E53" i="6"/>
  <c r="H55" i="6"/>
  <c r="I53" i="6"/>
  <c r="H54" i="6"/>
  <c r="J53" i="6"/>
  <c r="J52" i="6" s="1"/>
  <c r="D52" i="6" l="1"/>
  <c r="I52" i="6"/>
  <c r="H77" i="6"/>
  <c r="H76" i="6" s="1"/>
  <c r="E52" i="6"/>
  <c r="E88" i="6"/>
  <c r="E76" i="6" s="1"/>
  <c r="D89" i="6"/>
  <c r="D88" i="6" s="1"/>
  <c r="D76" i="6" s="1"/>
  <c r="H53" i="6"/>
  <c r="H52" i="6" s="1"/>
  <c r="E182" i="6" l="1"/>
  <c r="D182" i="6" s="1"/>
  <c r="I116" i="6"/>
  <c r="H116" i="6" s="1"/>
  <c r="I112" i="6"/>
  <c r="H112" i="6" s="1"/>
  <c r="J111" i="6"/>
  <c r="J106" i="6" s="1"/>
  <c r="J95" i="6" s="1"/>
  <c r="I111" i="6"/>
  <c r="I110" i="6"/>
  <c r="I109" i="6"/>
  <c r="H109" i="6" s="1"/>
  <c r="I108" i="6"/>
  <c r="H108" i="6" s="1"/>
  <c r="I107" i="6"/>
  <c r="H107" i="6" s="1"/>
  <c r="H111" i="6" l="1"/>
  <c r="H110" i="6"/>
  <c r="I106" i="6"/>
  <c r="I95" i="6" s="1"/>
  <c r="H106" i="6" l="1"/>
  <c r="H95" i="6" s="1"/>
  <c r="K182" i="6" l="1"/>
  <c r="K179" i="6" s="1"/>
  <c r="I182" i="6"/>
  <c r="I180" i="6"/>
  <c r="J180" i="6"/>
  <c r="K178" i="6"/>
  <c r="I178" i="6"/>
  <c r="I177" i="6"/>
  <c r="H177" i="6" s="1"/>
  <c r="I176" i="6"/>
  <c r="H176" i="6" s="1"/>
  <c r="I175" i="6"/>
  <c r="H175" i="6" s="1"/>
  <c r="I174" i="6"/>
  <c r="I171" i="6"/>
  <c r="H171" i="6" s="1"/>
  <c r="I170" i="6"/>
  <c r="H170" i="6" s="1"/>
  <c r="I168" i="6"/>
  <c r="I166" i="6"/>
  <c r="H166" i="6" s="1"/>
  <c r="I165" i="6"/>
  <c r="H165" i="6" s="1"/>
  <c r="I163" i="6"/>
  <c r="I161" i="6"/>
  <c r="H161" i="6" s="1"/>
  <c r="I159" i="6"/>
  <c r="I156" i="6"/>
  <c r="H156" i="6" s="1"/>
  <c r="I154" i="6"/>
  <c r="I150" i="6"/>
  <c r="H150" i="6" s="1"/>
  <c r="E150" i="6"/>
  <c r="D150" i="6" s="1"/>
  <c r="I149" i="6"/>
  <c r="H149" i="6" s="1"/>
  <c r="E149" i="6"/>
  <c r="D149" i="6" s="1"/>
  <c r="I147" i="6"/>
  <c r="H147" i="6" s="1"/>
  <c r="E143" i="6"/>
  <c r="D143" i="6" s="1"/>
  <c r="I142" i="6"/>
  <c r="E142" i="6"/>
  <c r="I137" i="6"/>
  <c r="H137" i="6" s="1"/>
  <c r="J136" i="6"/>
  <c r="I136" i="6"/>
  <c r="F136" i="6"/>
  <c r="I134" i="6"/>
  <c r="I132" i="6"/>
  <c r="I129" i="6"/>
  <c r="H129" i="6" s="1"/>
  <c r="J128" i="6"/>
  <c r="I127" i="6"/>
  <c r="H127" i="6" s="1"/>
  <c r="I126" i="6"/>
  <c r="H126" i="6" s="1"/>
  <c r="I125" i="6"/>
  <c r="H125" i="6" s="1"/>
  <c r="I124" i="6"/>
  <c r="H124" i="6" s="1"/>
  <c r="I123" i="6"/>
  <c r="K6" i="6" l="1"/>
  <c r="C13" i="7" s="1"/>
  <c r="H182" i="6"/>
  <c r="I179" i="6"/>
  <c r="H180" i="6"/>
  <c r="H179" i="6" s="1"/>
  <c r="J179" i="6"/>
  <c r="C33" i="7"/>
  <c r="H178" i="6"/>
  <c r="I173" i="6"/>
  <c r="H174" i="6"/>
  <c r="H173" i="6" s="1"/>
  <c r="I167" i="6"/>
  <c r="H168" i="6"/>
  <c r="H167" i="6" s="1"/>
  <c r="H163" i="6"/>
  <c r="H162" i="6" s="1"/>
  <c r="I162" i="6"/>
  <c r="H159" i="6"/>
  <c r="H157" i="6" s="1"/>
  <c r="I157" i="6"/>
  <c r="H154" i="6"/>
  <c r="H153" i="6" s="1"/>
  <c r="I153" i="6"/>
  <c r="I141" i="6"/>
  <c r="I140" i="6" s="1"/>
  <c r="H142" i="6"/>
  <c r="H141" i="6" s="1"/>
  <c r="H140" i="6" s="1"/>
  <c r="E141" i="6"/>
  <c r="E140" i="6" s="1"/>
  <c r="D142" i="6"/>
  <c r="D141" i="6" s="1"/>
  <c r="D140" i="6" s="1"/>
  <c r="F133" i="6"/>
  <c r="F131" i="6" s="1"/>
  <c r="D136" i="6"/>
  <c r="D133" i="6" s="1"/>
  <c r="D131" i="6" s="1"/>
  <c r="J133" i="6"/>
  <c r="J131" i="6" s="1"/>
  <c r="H136" i="6"/>
  <c r="H134" i="6"/>
  <c r="I133" i="6"/>
  <c r="I131" i="6" s="1"/>
  <c r="H132" i="6"/>
  <c r="H128" i="6"/>
  <c r="J122" i="6"/>
  <c r="J120" i="6" s="1"/>
  <c r="I122" i="6"/>
  <c r="I120" i="6" s="1"/>
  <c r="H123" i="6"/>
  <c r="E180" i="6"/>
  <c r="J6" i="6" l="1"/>
  <c r="C9" i="7" s="1"/>
  <c r="C14" i="7"/>
  <c r="D180" i="6"/>
  <c r="D179" i="6" s="1"/>
  <c r="E179" i="6"/>
  <c r="I152" i="6"/>
  <c r="H152" i="6"/>
  <c r="D6" i="6"/>
  <c r="F6" i="6"/>
  <c r="B9" i="7" s="1"/>
  <c r="H133" i="6"/>
  <c r="H131" i="6" s="1"/>
  <c r="H122" i="6"/>
  <c r="H120" i="6" s="1"/>
  <c r="C10" i="7"/>
  <c r="C32" i="7"/>
  <c r="I6" i="6" l="1"/>
  <c r="H6" i="6"/>
  <c r="E6" i="6"/>
  <c r="B5" i="7" s="1"/>
  <c r="B32" i="7"/>
  <c r="B10" i="7"/>
  <c r="C5" i="7"/>
  <c r="B22" i="7" l="1"/>
  <c r="B23" i="7" s="1"/>
  <c r="B6" i="7"/>
  <c r="B31" i="7"/>
  <c r="B37" i="7" s="1"/>
  <c r="B38" i="7" s="1"/>
  <c r="B17" i="7"/>
  <c r="B18" i="7" s="1"/>
  <c r="C17" i="7"/>
  <c r="C6" i="7"/>
  <c r="C22" i="7"/>
  <c r="C31" i="7"/>
  <c r="C37" i="7" l="1"/>
  <c r="C23" i="7"/>
  <c r="C18" i="7"/>
  <c r="C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84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E10" authorId="0" shapeId="0" xr:uid="{723EC6F0-B55F-4D99-9BC0-C90E705AC1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rozvojový projekt:
rozpočet: 750 EUR zdroj 131N
skutočnosť: 750 EUR zdroj 131N</t>
        </r>
      </text>
    </comment>
    <comment ref="E11" authorId="0" shapeId="0" xr:uid="{C2077E2A-E10B-4C94-89DB-A03AA56169E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265 EUR zdroj 11UA
skutočnosť: 265 EUR zdroj 11UA</t>
        </r>
      </text>
    </comment>
    <comment ref="S11" authorId="0" shapeId="0" xr:uid="{4145D608-0C98-4E55-A0A6-B8677D14A7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+ 5 900 EUR</t>
        </r>
      </text>
    </comment>
    <comment ref="T11" authorId="0" shapeId="0" xr:uid="{15429D76-5E9C-41A4-8684-E788A24FC456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E12" authorId="0" shapeId="0" xr:uid="{04BB63E6-B055-4A75-BDE4-9C25C13EF10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2 111 EUR zdroj 11UA
skutočnosť:2 110,21 EUR zdroj 11UA</t>
        </r>
      </text>
    </comment>
    <comment ref="L12" authorId="0" shapeId="0" xr:uid="{C351805E-F003-4DF1-9961-BC26386EEEE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M12" authorId="0" shapeId="0" xr:uid="{79F9EB61-FDB3-43D1-86CC-E22FA78B5BB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S12" authorId="0" shapeId="0" xr:uid="{B26BCF2C-4BA7-4FF0-8F32-2AC7DC5241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+3 300 EUR</t>
        </r>
      </text>
    </comment>
    <comment ref="E14" authorId="0" shapeId="0" xr:uid="{DA44F900-C095-4B64-949B-751DDB562D3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750 EUR zdroj 131N
skutočnosť: 750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</t>
        </r>
      </text>
    </comment>
    <comment ref="S14" authorId="0" shapeId="0" xr:uid="{AEFCDD83-DDF2-43B8-8F33-3CA21C62100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+2 400 EUR</t>
        </r>
      </text>
    </comment>
    <comment ref="E15" authorId="0" shapeId="0" xr:uid="{84C8B566-62EC-4581-8614-DA0ED5ACEF3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>:
rozpočet: 1 000 EUR zdroj 131N
skutočnosť: 1 000 EUR zdroj 131N</t>
        </r>
      </text>
    </comment>
    <comment ref="S15" authorId="0" shapeId="0" xr:uid="{80D94001-D631-49CB-8F3B-D0C42B988B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+2 200 EUR</t>
        </r>
      </text>
    </comment>
    <comment ref="T15" authorId="0" shapeId="0" xr:uid="{8B7ED3DD-2BD0-4EE8-83DE-4808FDC17B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E16" authorId="0" shapeId="0" xr:uid="{1E79CFA4-6CA0-41CA-8236-599DD36F8F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 xml:space="preserve">: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
</t>
        </r>
        <r>
          <rPr>
            <b/>
            <sz val="9"/>
            <color indexed="81"/>
            <rFont val="Segoe UI"/>
            <family val="2"/>
            <charset val="238"/>
          </rPr>
          <t>predškoláci z roku 2023</t>
        </r>
        <r>
          <rPr>
            <sz val="9"/>
            <color indexed="81"/>
            <rFont val="Segoe UI"/>
            <family val="2"/>
            <charset val="238"/>
          </rPr>
          <t>:
rozpočet: 1 612 EUR zdroj 131N
skutočnosť: 1 611,87 EUR zdroj 131N</t>
        </r>
      </text>
    </comment>
    <comment ref="S16" authorId="0" shapeId="0" xr:uid="{C91C8502-BCEB-4112-93D8-E2249BF89A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+1 800 EUR</t>
        </r>
      </text>
    </comment>
    <comment ref="D19" authorId="0" shapeId="0" xr:uid="{B0D25126-97F7-4A2E-9B36-8254C633C37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- 15 775 EUR
111 - 463 445 EUR</t>
        </r>
      </text>
    </comment>
    <comment ref="E19" authorId="0" shapeId="0" xr:uid="{98A84E0E-6BE4-4C78-A6BA-875D58B70F8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707 EUR zdroj 11UA
skutočnosť: 707 EUR zdroj 11UA</t>
        </r>
      </text>
    </comment>
    <comment ref="T19" authorId="0" shapeId="0" xr:uid="{EB01F13B-64B3-4CF7-8E89-EA518D5C6E7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D20" authorId="0" shapeId="0" xr:uid="{8E4F22ED-B461-4AE2-B57A-DC5CF50BF2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- 23 876 EUR
111 - 991 944 EUR</t>
        </r>
      </text>
    </comment>
    <comment ref="E20" authorId="0" shapeId="0" xr:uid="{75282E08-68AD-4A63-94B4-D5C2BB8ECD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973 EUR zdroj 11UA
skutočnosť: 973 EUR zdroj 11UA</t>
        </r>
      </text>
    </comment>
    <comment ref="M20" authorId="0" shapeId="0" xr:uid="{53E3C202-573D-413F-B412-4775A4AFB39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vlastných príjmov</t>
        </r>
      </text>
    </comment>
    <comment ref="T20" authorId="0" shapeId="0" xr:uid="{2E3D66C8-D7B2-4935-97E1-A6755D03966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D21" authorId="0" shapeId="0" xr:uid="{D05B1BA5-842D-4645-BDDD-863376318BD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- 29 516 EUR
111 - 1 518 164 EUR</t>
        </r>
      </text>
    </comment>
    <comment ref="E21" authorId="0" shapeId="0" xr:uid="{0C584D9F-3DB8-41A1-826C-693055CB07B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1 592 EUR zdroj 11UA
skutočnosť:1 592 EUR zdroj 11UA</t>
        </r>
      </text>
    </comment>
    <comment ref="G21" authorId="0" shapeId="0" xr:uid="{8BCF6271-793F-4B8E-B6A8-97EA0837594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2 340 EUR POP Murgaša z roku 2023 rozpočet 1BB1 - 1 988 EUR
                1BB2 - 352 EUR
skutočnosť 1BB1 - 1 987,20 EUR
                     1BB2 - 351,29 EUR</t>
        </r>
      </text>
    </comment>
    <comment ref="S21" authorId="0" shapeId="0" xr:uid="{2EF30DBB-229E-4A47-BBD8-75E7E35E4BA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+15 000 EUR</t>
        </r>
      </text>
    </comment>
    <comment ref="T21" authorId="0" shapeId="0" xr:uid="{61DD5BAC-5FB5-4DE1-9EF9-207530C3060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D22" authorId="0" shapeId="0" xr:uid="{09CF39CB-4916-433C-A740-44EE64A872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- 53 722 EUR
111 - 1 284 798 EUR</t>
        </r>
      </text>
    </comment>
    <comment ref="E22" authorId="0" shapeId="0" xr:uid="{A5569006-FE9B-4FC1-90A7-4422B5D9376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1 500 EUR zdroj 131N
skutočnosť: 1 500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1 327 EUR zdroj 11UA
skutočnosť:1 327 EUR zdroj 11UA</t>
        </r>
      </text>
    </comment>
    <comment ref="S22" authorId="0" shapeId="0" xr:uid="{E9B0A6F2-F0DB-4560-BB25-B90340842F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+5 400 EUR</t>
        </r>
      </text>
    </comment>
    <comment ref="T22" authorId="0" shapeId="0" xr:uid="{6F7EE4D2-10FB-4BCA-B58C-D2CE570134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 POP
+ 4 800EUR
</t>
        </r>
      </text>
    </comment>
    <comment ref="D23" authorId="0" shapeId="0" xr:uid="{D69DBF17-19DD-43B0-B85C-CFBA4D14AE5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- 14 352 EUR
111 - 1 104 968 EUR</t>
        </r>
      </text>
    </comment>
    <comment ref="E23" authorId="0" shapeId="0" xr:uid="{FACF44F0-A18A-421E-9457-114AAA9C85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2 742 EUR zdroj 11UA
skutočnosť: 2 742 EUR zdroj 11UA</t>
        </r>
      </text>
    </comment>
    <comment ref="M23" authorId="0" shapeId="0" xr:uid="{AEDBC430-DB0B-4CA7-9224-29D2DC39DA5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60 000 EUR z roku 2023 zdroj 131 N</t>
        </r>
      </text>
    </comment>
    <comment ref="T23" authorId="0" shapeId="0" xr:uid="{D34F7E04-75E6-4E04-B265-A2011876FBC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        + 16 000 EUR = 121 000 EUR POP</t>
        </r>
      </text>
    </comment>
    <comment ref="D24" authorId="0" shapeId="0" xr:uid="{23EBF757-D55A-4B11-8FEA-F05C1017F95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- 8 070 EUR
111 -595 370 EUR</t>
        </r>
      </text>
    </comment>
    <comment ref="T24" authorId="0" shapeId="0" xr:uid="{15FD2BD0-C859-451D-8DD4-554DA859CA2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S26" authorId="0" shapeId="0" xr:uid="{664002D2-5500-4A07-A520-B4DB3D44163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E30" authorId="0" shapeId="0" xr:uid="{71932A01-F4E4-416D-AF6A-8B622D5C6B3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4 023 EUR z roku 2023, zdroj 131 N
           45 347 EUR príjem v roku 2024</t>
        </r>
      </text>
    </comment>
    <comment ref="E31" authorId="0" shapeId="0" xr:uid="{903DC1B5-E9E9-4969-B8F3-F788D099DB0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1 612 EUR z roku 2023, zdroj 131 N
           215 238 EUR príjem v roku 2024</t>
        </r>
      </text>
    </comment>
    <comment ref="E36" authorId="0" shapeId="0" xr:uid="{CB4902CF-473C-43B1-8DB9-C1F2C0EA018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roku 2023 zdroj 131 N</t>
        </r>
      </text>
    </comment>
    <comment ref="E46" authorId="0" shapeId="0" xr:uid="{945F03E0-40BD-4239-857C-C68E4A90CCA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10 425 EUR z roku 2023
            183 109 EUR príjem v roku 2024</t>
        </r>
      </text>
    </comment>
    <comment ref="D49" authorId="0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49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  <comment ref="I49" authorId="0" shapeId="0" xr:uid="{E26E8039-EDAE-4C35-AA65-A8730962AF2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19 000 EUR rezerva
74 650 EUR vrátené stravné z roku 2023</t>
        </r>
      </text>
    </comment>
  </commentList>
</comments>
</file>

<file path=xl/sharedStrings.xml><?xml version="1.0" encoding="utf-8"?>
<sst xmlns="http://schemas.openxmlformats.org/spreadsheetml/2006/main" count="980" uniqueCount="665">
  <si>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</si>
  <si>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</si>
  <si>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</si>
  <si>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</si>
  <si>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</si>
  <si>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</si>
  <si>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</si>
  <si>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</si>
  <si>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</si>
  <si>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</si>
  <si>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</si>
  <si>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</si>
  <si>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</si>
  <si>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</si>
  <si>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</si>
  <si>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</si>
  <si>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</si>
  <si>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</si>
  <si>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</si>
  <si>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</si>
  <si>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</si>
  <si>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</si>
  <si>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</si>
  <si>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</si>
  <si>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</si>
  <si>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</si>
  <si>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</si>
  <si>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</si>
  <si>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</si>
  <si>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</si>
  <si>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</si>
  <si>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</si>
  <si>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</si>
  <si>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</si>
  <si>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</si>
  <si>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</si>
  <si>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</si>
  <si>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</si>
  <si>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</si>
  <si>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</si>
  <si>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</si>
  <si>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</si>
  <si>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</si>
  <si>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</si>
  <si>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</si>
  <si>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</si>
  <si>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</si>
  <si>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</si>
  <si>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</si>
  <si>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</si>
  <si>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</si>
  <si>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</si>
  <si>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</si>
  <si>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</si>
  <si>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</si>
  <si>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</si>
  <si>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</si>
  <si>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</si>
  <si>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</si>
  <si>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</si>
  <si>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</si>
  <si>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</si>
  <si>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</si>
  <si>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</si>
  <si>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</si>
  <si>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</si>
  <si>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</si>
  <si>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</si>
  <si>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</si>
  <si>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</si>
  <si>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</si>
  <si>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</si>
  <si>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</si>
  <si>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</si>
  <si>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</si>
  <si>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</si>
  <si>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</si>
  <si>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</si>
  <si>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</si>
  <si>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</si>
  <si>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</si>
  <si>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</si>
  <si>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</si>
  <si>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</si>
  <si>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</si>
  <si>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</si>
  <si>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</si>
  <si>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</si>
  <si>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</si>
  <si>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</si>
  <si>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</si>
  <si>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</si>
  <si>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</si>
  <si>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</si>
  <si>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</si>
  <si>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</si>
  <si>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</si>
  <si>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</si>
  <si>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</si>
  <si>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</si>
  <si>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</si>
  <si>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</si>
  <si>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</si>
  <si>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</si>
  <si>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</si>
  <si>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</si>
  <si>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</si>
  <si>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</si>
  <si>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</si>
  <si>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</si>
  <si>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</si>
  <si>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</si>
  <si>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</si>
  <si>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</si>
  <si>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</si>
  <si>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</si>
  <si>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</si>
  <si>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</si>
  <si>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</si>
  <si>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</si>
  <si>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</si>
  <si>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</si>
  <si>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</si>
  <si>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</si>
  <si>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</si>
  <si>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</si>
  <si>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</si>
  <si>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</si>
  <si>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</si>
  <si>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</si>
  <si>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</si>
  <si>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</si>
  <si>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</si>
  <si>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</si>
  <si>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</si>
  <si>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</si>
  <si>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</si>
  <si>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</si>
  <si>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</si>
  <si>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</si>
  <si>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</si>
  <si>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</si>
  <si>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</si>
  <si>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</si>
  <si>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</si>
  <si>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</si>
  <si>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</si>
  <si>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</si>
  <si>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</si>
  <si>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</si>
  <si>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</si>
  <si>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</si>
  <si>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</si>
  <si>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</si>
  <si>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</si>
  <si>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</si>
  <si>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</si>
  <si>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</si>
  <si>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</si>
  <si>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</si>
  <si>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</si>
  <si>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</si>
  <si>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</si>
  <si>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</si>
  <si>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</si>
  <si>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</si>
  <si>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</si>
  <si>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</si>
  <si>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</si>
  <si>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</si>
  <si>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</si>
  <si>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</si>
  <si>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</si>
  <si>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</si>
  <si>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</si>
  <si>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</si>
  <si>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</si>
  <si>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</si>
  <si>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</si>
  <si>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</si>
  <si>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</si>
  <si>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</si>
  <si>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</si>
  <si>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</si>
  <si>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</si>
  <si>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</si>
  <si>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</si>
  <si>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</si>
  <si>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</si>
  <si>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</si>
  <si>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</si>
  <si>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</si>
  <si>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</si>
  <si>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</si>
  <si>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</si>
  <si>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</si>
  <si>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</si>
  <si>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</si>
  <si>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</si>
  <si>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</si>
  <si>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</si>
  <si>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</si>
  <si>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</si>
  <si>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</si>
  <si>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</si>
  <si>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</si>
  <si>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</si>
  <si>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</si>
  <si>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</si>
  <si>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</si>
  <si>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</si>
  <si>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</si>
  <si>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</si>
  <si>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</si>
  <si>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</si>
  <si>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</si>
  <si>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</si>
  <si>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</si>
  <si>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</si>
  <si>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</si>
  <si>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</si>
  <si>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</si>
  <si>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</si>
  <si>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</si>
  <si>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</si>
  <si>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</si>
  <si>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</si>
  <si>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</si>
  <si>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</si>
  <si>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</si>
  <si>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</si>
  <si>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</si>
  <si>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</si>
  <si>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</si>
  <si>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</si>
  <si>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</si>
  <si>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</si>
  <si>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</si>
  <si>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</si>
  <si>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</si>
  <si>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</si>
  <si>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</si>
  <si>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</si>
  <si>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</si>
  <si>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</si>
  <si>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</si>
  <si>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</si>
  <si>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</si>
  <si>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</si>
  <si>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</si>
  <si>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</si>
  <si>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</si>
  <si>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</si>
  <si>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</si>
  <si>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</si>
  <si>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</si>
  <si>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</si>
  <si>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</si>
  <si>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</si>
  <si>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</si>
  <si>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</si>
  <si>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</si>
  <si>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</si>
  <si>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</si>
  <si>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</si>
  <si>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</si>
  <si>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</si>
  <si>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</si>
  <si>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</si>
  <si>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</si>
  <si>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</si>
  <si>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</si>
  <si>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</si>
  <si>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</si>
  <si>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</si>
  <si>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</si>
  <si>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</si>
  <si>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</si>
  <si>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</si>
  <si>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</si>
  <si>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</si>
  <si>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</si>
  <si>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</si>
  <si>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</si>
  <si>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</si>
  <si>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</si>
  <si>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</si>
  <si>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</si>
  <si>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</si>
  <si>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</si>
  <si>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</si>
  <si>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</si>
  <si>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</si>
  <si>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</si>
  <si>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</si>
  <si>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</si>
  <si>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</si>
  <si>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</si>
  <si>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</si>
  <si>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</si>
  <si>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</si>
  <si>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</si>
  <si>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</si>
  <si>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</si>
  <si>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</si>
  <si>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</si>
  <si>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</si>
  <si>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</si>
  <si>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</si>
  <si>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</si>
  <si>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</si>
  <si>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</si>
  <si>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</si>
  <si>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</si>
  <si>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</si>
  <si>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</si>
  <si>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</si>
  <si>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</si>
  <si>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</si>
  <si>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</si>
  <si>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</si>
  <si>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</si>
  <si>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</si>
  <si>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</si>
  <si>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</si>
  <si>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</si>
  <si>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</si>
  <si>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</si>
  <si>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</si>
  <si>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</si>
  <si>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</si>
  <si>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</si>
  <si>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</si>
  <si>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</si>
  <si>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</si>
  <si>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</si>
  <si>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</si>
  <si>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</si>
  <si>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</si>
  <si>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</si>
  <si>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</si>
  <si>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</si>
  <si>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</si>
  <si>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</si>
  <si>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</si>
  <si>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</si>
  <si>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</si>
  <si>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</si>
  <si>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</si>
  <si>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</si>
  <si>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</si>
  <si>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</si>
  <si>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</si>
  <si>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</si>
  <si>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</si>
  <si>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</si>
  <si>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</si>
  <si>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</si>
  <si>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</si>
  <si>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</si>
  <si>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</si>
  <si>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</si>
  <si>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</si>
  <si>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</si>
  <si>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</si>
  <si>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</si>
  <si>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</si>
  <si>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</si>
  <si>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</si>
  <si>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</si>
  <si>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</si>
  <si>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</si>
  <si>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</si>
  <si>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</si>
  <si>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</si>
  <si>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</si>
  <si>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</si>
  <si>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</si>
  <si>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</si>
  <si>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</si>
  <si>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</si>
  <si>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</si>
  <si>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</si>
  <si>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</si>
  <si>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</si>
  <si>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</si>
  <si>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</si>
  <si>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</si>
  <si>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</si>
  <si>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</si>
  <si>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</si>
  <si>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</si>
  <si>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</si>
  <si>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</si>
  <si>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</si>
  <si>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</si>
  <si>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</si>
  <si>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</si>
  <si>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</si>
  <si>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</si>
  <si>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</si>
  <si>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</si>
  <si>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</si>
  <si>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</si>
  <si>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</si>
  <si>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</si>
  <si>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</si>
  <si>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</si>
  <si>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</si>
  <si>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</si>
  <si>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</si>
  <si>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</si>
  <si>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</si>
  <si>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</si>
  <si>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</si>
  <si>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</si>
  <si>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</si>
  <si>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</si>
  <si>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</si>
  <si>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</si>
  <si>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</si>
  <si>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</si>
  <si>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</si>
  <si>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</si>
  <si>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</si>
  <si>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</si>
  <si>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</si>
  <si>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</si>
  <si>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</si>
  <si>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</si>
  <si>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</si>
  <si>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</si>
  <si>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</si>
  <si>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</si>
  <si>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</si>
  <si>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</si>
  <si>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</si>
  <si>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</si>
  <si>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</si>
  <si>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</si>
  <si>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</si>
  <si>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</si>
  <si>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</si>
  <si>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</si>
  <si>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</si>
  <si>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</si>
  <si>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</si>
  <si>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</si>
  <si>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</si>
  <si>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</si>
  <si>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</si>
  <si>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</si>
  <si>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</si>
  <si>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</si>
  <si>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</si>
  <si>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</si>
  <si>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450 rezervný fond</t>
  </si>
  <si>
    <t>453 účelovo viazané prostriedky z pred. Rokov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</si>
  <si>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</si>
  <si>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</si>
  <si>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</si>
  <si>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</si>
  <si>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</si>
  <si>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</si>
  <si>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</si>
  <si>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</si>
  <si>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</si>
  <si>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</si>
  <si>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</si>
  <si>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</si>
  <si>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</si>
  <si>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</si>
  <si>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</si>
  <si>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</si>
  <si>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</si>
  <si>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</si>
  <si>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</si>
  <si>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</si>
  <si>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</si>
  <si>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</si>
  <si>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</si>
  <si>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</si>
  <si>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</si>
  <si>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</si>
  <si>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</si>
  <si>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</si>
  <si>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</si>
  <si>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</si>
  <si>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</si>
  <si>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</si>
  <si>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</si>
  <si>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</si>
  <si>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</si>
  <si>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</si>
  <si>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</si>
  <si>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</si>
  <si>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</si>
  <si>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</si>
  <si>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</si>
  <si>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</si>
  <si>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</si>
  <si>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</si>
  <si>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</si>
  <si>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</si>
  <si>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</si>
  <si>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</si>
  <si>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</si>
  <si>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</si>
  <si>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</si>
  <si>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</si>
  <si>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</si>
  <si>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</si>
  <si>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</si>
  <si>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</si>
  <si>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</si>
  <si>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</si>
  <si>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</si>
  <si>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</si>
  <si>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</si>
  <si>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</si>
  <si>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</si>
  <si>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</si>
  <si>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</si>
  <si>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</si>
  <si>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</si>
  <si>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</si>
  <si>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</si>
  <si>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</si>
  <si>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</si>
  <si>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</si>
  <si>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</si>
  <si>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</si>
  <si>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311 grant ZsE</t>
  </si>
  <si>
    <t>321 dotácia cyklotrasa</t>
  </si>
  <si>
    <t>456 zábezpeka byty</t>
  </si>
  <si>
    <t>DD - kapitálové výdavky</t>
  </si>
  <si>
    <t>450 fond rozvoja bývania, fond opráv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</si>
  <si>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</si>
  <si>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</si>
  <si>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</si>
  <si>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</si>
  <si>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</si>
  <si>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311 grant Nórske fondy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</si>
  <si>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</si>
  <si>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</si>
  <si>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</si>
  <si>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</si>
  <si>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</si>
  <si>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</si>
  <si>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</si>
  <si>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</si>
  <si>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</si>
  <si>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</si>
  <si>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</si>
  <si>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</si>
  <si>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</si>
  <si>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</si>
  <si>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</si>
  <si>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</si>
  <si>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</si>
  <si>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</si>
  <si>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</si>
  <si>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</si>
  <si>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</si>
  <si>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</si>
  <si>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</si>
  <si>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</si>
  <si>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</si>
  <si>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</si>
  <si>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</si>
  <si>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</si>
  <si>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</si>
  <si>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audiovizuálny fond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</si>
  <si>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</si>
  <si>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</si>
  <si>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</si>
  <si>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</si>
  <si>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</si>
  <si>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</si>
  <si>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</si>
  <si>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</si>
  <si>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</si>
  <si>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</si>
  <si>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</si>
  <si>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</si>
  <si>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</si>
  <si>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</si>
  <si>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</si>
  <si>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</si>
  <si>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</si>
  <si>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</si>
  <si>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321 dotácia prenesené kompetencie - školstvo havárie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</si>
  <si>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</si>
  <si>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</si>
  <si>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</si>
  <si>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</si>
  <si>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</si>
  <si>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</si>
  <si>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</si>
  <si>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</si>
  <si>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</si>
  <si>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</si>
  <si>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</si>
  <si>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</si>
  <si>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</si>
  <si>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</si>
  <si>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</si>
  <si>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</si>
  <si>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</si>
  <si>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</si>
  <si>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</si>
  <si>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</si>
  <si>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</si>
  <si>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</si>
  <si>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</si>
  <si>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311 grant SMART</t>
  </si>
  <si>
    <t>311 grant kybernetická bezpečnosť</t>
  </si>
  <si>
    <t>321 dotácia predstaničný priestor</t>
  </si>
  <si>
    <t>Predstaničný priestor</t>
  </si>
  <si>
    <t>KV školstvo</t>
  </si>
  <si>
    <t>špecifiká - UA</t>
  </si>
  <si>
    <t>9.</t>
  </si>
  <si>
    <t>311 grant Ekofond SPP - jarmok</t>
  </si>
  <si>
    <t>Automobil - terénna. opatrov. strarostlivosť</t>
  </si>
  <si>
    <t>11.</t>
  </si>
  <si>
    <t>312 Dotácia na zmiernenie inflácie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</si>
  <si>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</si>
  <si>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</si>
  <si>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</si>
  <si>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</si>
  <si>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</si>
  <si>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</si>
  <si>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</si>
  <si>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</si>
  <si>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</si>
  <si>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Cyklotrasa</t>
  </si>
  <si>
    <t>čítame radi</t>
  </si>
  <si>
    <t>2024</t>
  </si>
  <si>
    <t>DK</t>
  </si>
  <si>
    <t>Plaváreň</t>
  </si>
  <si>
    <t>Tabuľka č. 1 Plnenie  príjmov rozpočtu v roku 2024</t>
  </si>
  <si>
    <t xml:space="preserve">  Tabuľka č. 2 Čerpanie výdavkov rozpočtu v roku 2024</t>
  </si>
  <si>
    <t>Tabuľka č. 3 Sumár príjmov a výdavkov rozpočtu v roku 2024</t>
  </si>
  <si>
    <t>321 dotácia NsK</t>
  </si>
  <si>
    <t>Bežné výdavky - projekty</t>
  </si>
  <si>
    <t>3.</t>
  </si>
  <si>
    <t>Výkup pozemkov - cyklotrasa</t>
  </si>
  <si>
    <t>15.</t>
  </si>
  <si>
    <t>klimatizácia MsÚ</t>
  </si>
  <si>
    <t>12.</t>
  </si>
  <si>
    <t>Cintorín - kolumbárium</t>
  </si>
  <si>
    <t>MŠ Budovateľská – rekonštrukcia budovy</t>
  </si>
  <si>
    <t>MŠ Družstevná – rekonštrukcia strechy</t>
  </si>
  <si>
    <t>MŠ Hollého – exteriérové hracie prvky</t>
  </si>
  <si>
    <t>MŠ 8. mája – ohrievač vody</t>
  </si>
  <si>
    <t>ZŠ Hollého – vybavenie ŠJ</t>
  </si>
  <si>
    <t>ZŠ Murgaša – traktorová kosačka</t>
  </si>
  <si>
    <t>ZŠ Ľ. Štúra – havarijný stav podlahy</t>
  </si>
  <si>
    <t>ZŠ J.C. Hronského – digestor do ŠJ</t>
  </si>
  <si>
    <t>ZŠ Bernolákova</t>
  </si>
  <si>
    <t>Pedagogický asistent</t>
  </si>
  <si>
    <t>Školský podporný tím</t>
  </si>
  <si>
    <t>Nepedagog. zamest. pomocný vychovávateľ</t>
  </si>
  <si>
    <t>321 dotácia MFSR - amfiteáter</t>
  </si>
  <si>
    <t>321 dotácia ČSOB - cykloboxy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</si>
</sst>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6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3" fontId="80" fillId="0" borderId="178" xfId="0" applyNumberFormat="1" applyFont="1" applyBorder="1"/>
    <xf numFmtId="4" fontId="34" fillId="0" borderId="55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3" fontId="77" fillId="0" borderId="114" xfId="0" applyNumberFormat="1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4" fontId="83" fillId="0" borderId="86" xfId="0" applyNumberFormat="1" applyFont="1" applyBorder="1"/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Okt&#243;ber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98065.250000000015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41508.81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99638.6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20400</v>
          </cell>
          <cell r="AD41">
            <v>0</v>
          </cell>
          <cell r="AE41">
            <v>0</v>
          </cell>
          <cell r="AF41">
            <v>15312.99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147680</v>
          </cell>
          <cell r="AE62">
            <v>0</v>
          </cell>
          <cell r="AF62">
            <v>1417.58</v>
          </cell>
          <cell r="AG62">
            <v>7897.44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67083.009999999995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11117.380000000001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16.2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895.15</v>
          </cell>
          <cell r="AG7">
            <v>0</v>
          </cell>
          <cell r="AH7">
            <v>0</v>
          </cell>
        </row>
        <row r="12">
          <cell r="AC12">
            <v>8550</v>
          </cell>
          <cell r="AD12">
            <v>0</v>
          </cell>
          <cell r="AE12">
            <v>0</v>
          </cell>
          <cell r="AF12">
            <v>6840.54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425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4000</v>
          </cell>
          <cell r="AG29">
            <v>0</v>
          </cell>
          <cell r="AH29">
            <v>0</v>
          </cell>
        </row>
        <row r="32">
          <cell r="AC32">
            <v>15000</v>
          </cell>
          <cell r="AD32">
            <v>0</v>
          </cell>
          <cell r="AE32">
            <v>0</v>
          </cell>
          <cell r="AF32">
            <v>10454.760000000002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7700</v>
          </cell>
          <cell r="AD51">
            <v>0</v>
          </cell>
          <cell r="AE51">
            <v>0</v>
          </cell>
          <cell r="AF51">
            <v>4079.34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65397.770000000004</v>
          </cell>
          <cell r="AG4">
            <v>0</v>
          </cell>
          <cell r="AH4">
            <v>0</v>
          </cell>
        </row>
        <row r="23">
          <cell r="AC23">
            <v>116076</v>
          </cell>
          <cell r="AD23">
            <v>0</v>
          </cell>
          <cell r="AE23">
            <v>0</v>
          </cell>
          <cell r="AF23">
            <v>114266.5</v>
          </cell>
          <cell r="AG23">
            <v>0</v>
          </cell>
          <cell r="AH23">
            <v>0</v>
          </cell>
        </row>
        <row r="29">
          <cell r="AC29">
            <v>2500</v>
          </cell>
          <cell r="AD29">
            <v>0</v>
          </cell>
          <cell r="AE29">
            <v>0</v>
          </cell>
          <cell r="AF29">
            <v>2459.1000000000004</v>
          </cell>
          <cell r="AG29">
            <v>0</v>
          </cell>
          <cell r="AH29">
            <v>0</v>
          </cell>
        </row>
        <row r="34">
          <cell r="AC34">
            <v>15870</v>
          </cell>
          <cell r="AD34">
            <v>0</v>
          </cell>
          <cell r="AE34">
            <v>0</v>
          </cell>
          <cell r="AF34">
            <v>13962.560000000001</v>
          </cell>
          <cell r="AG34">
            <v>0</v>
          </cell>
          <cell r="AH34">
            <v>0</v>
          </cell>
        </row>
        <row r="37">
          <cell r="AC37">
            <v>237870</v>
          </cell>
          <cell r="AD37">
            <v>2</v>
          </cell>
          <cell r="AE37">
            <v>0</v>
          </cell>
          <cell r="AF37">
            <v>136203.77000000002</v>
          </cell>
          <cell r="AG37">
            <v>0</v>
          </cell>
          <cell r="AH37">
            <v>0</v>
          </cell>
        </row>
        <row r="95">
          <cell r="AC95">
            <v>2000</v>
          </cell>
          <cell r="AD95">
            <v>10158</v>
          </cell>
          <cell r="AE95">
            <v>0</v>
          </cell>
          <cell r="AF95">
            <v>1401</v>
          </cell>
          <cell r="AG95">
            <v>0</v>
          </cell>
          <cell r="AH95">
            <v>0</v>
          </cell>
        </row>
        <row r="100">
          <cell r="AC100">
            <v>8000</v>
          </cell>
          <cell r="AD100">
            <v>0</v>
          </cell>
          <cell r="AE100">
            <v>0</v>
          </cell>
          <cell r="AF100">
            <v>4124.75</v>
          </cell>
          <cell r="AG100">
            <v>0</v>
          </cell>
          <cell r="AH100">
            <v>0</v>
          </cell>
        </row>
        <row r="106">
          <cell r="AC106">
            <v>550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20537.3</v>
          </cell>
          <cell r="AG4">
            <v>0</v>
          </cell>
          <cell r="AH4">
            <v>0</v>
          </cell>
        </row>
        <row r="17">
          <cell r="AC17">
            <v>33900</v>
          </cell>
          <cell r="AD17">
            <v>0</v>
          </cell>
          <cell r="AE17">
            <v>0</v>
          </cell>
          <cell r="AF17">
            <v>26067.500000000004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4">
        <row r="5">
          <cell r="AC5">
            <v>671750</v>
          </cell>
          <cell r="AD5">
            <v>0</v>
          </cell>
          <cell r="AE5">
            <v>0</v>
          </cell>
          <cell r="AF5">
            <v>553855.6399999999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148421.18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61267.25</v>
          </cell>
          <cell r="AG83">
            <v>0</v>
          </cell>
          <cell r="AH83">
            <v>0</v>
          </cell>
        </row>
        <row r="86">
          <cell r="AC86">
            <v>83250</v>
          </cell>
          <cell r="AD86">
            <v>0</v>
          </cell>
          <cell r="AE86">
            <v>0</v>
          </cell>
          <cell r="AF86">
            <v>61153.680000000008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4013.1800000000003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115000</v>
          </cell>
          <cell r="AH114">
            <v>0</v>
          </cell>
        </row>
        <row r="121">
          <cell r="AC121">
            <v>120150</v>
          </cell>
          <cell r="AD121">
            <v>0</v>
          </cell>
          <cell r="AE121">
            <v>0</v>
          </cell>
          <cell r="AF121">
            <v>111681.44</v>
          </cell>
          <cell r="AG121">
            <v>0</v>
          </cell>
          <cell r="AH121">
            <v>0</v>
          </cell>
        </row>
        <row r="124">
          <cell r="AC124">
            <v>129000</v>
          </cell>
          <cell r="AD124">
            <v>0</v>
          </cell>
          <cell r="AE124">
            <v>0</v>
          </cell>
          <cell r="AF124">
            <v>88651.12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5003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8000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1032796</v>
          </cell>
          <cell r="AD10">
            <v>0</v>
          </cell>
          <cell r="AE10">
            <v>0</v>
          </cell>
          <cell r="AF10">
            <v>660255.97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142934.87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189083.3</v>
          </cell>
          <cell r="AH7">
            <v>0</v>
          </cell>
        </row>
        <row r="15">
          <cell r="AC15">
            <v>80850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270900</v>
          </cell>
          <cell r="AD17">
            <v>0</v>
          </cell>
          <cell r="AE17">
            <v>0</v>
          </cell>
          <cell r="AF17">
            <v>270723.56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56295.19</v>
          </cell>
          <cell r="AG19">
            <v>0</v>
          </cell>
          <cell r="AH19">
            <v>0</v>
          </cell>
        </row>
        <row r="26">
          <cell r="AC26">
            <v>12500</v>
          </cell>
          <cell r="AD26">
            <v>0</v>
          </cell>
          <cell r="AE26">
            <v>0</v>
          </cell>
          <cell r="AF26">
            <v>12474.08</v>
          </cell>
          <cell r="AG26">
            <v>0</v>
          </cell>
          <cell r="AH26">
            <v>0</v>
          </cell>
        </row>
        <row r="28">
          <cell r="AC28">
            <v>2600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37455</v>
          </cell>
          <cell r="AD33">
            <v>2542000</v>
          </cell>
          <cell r="AE33">
            <v>0</v>
          </cell>
          <cell r="AF33">
            <v>36119.06</v>
          </cell>
          <cell r="AG33">
            <v>0</v>
          </cell>
          <cell r="AH33">
            <v>0</v>
          </cell>
        </row>
        <row r="36">
          <cell r="AC36">
            <v>5000</v>
          </cell>
          <cell r="AD36">
            <v>20000</v>
          </cell>
          <cell r="AE36">
            <v>0</v>
          </cell>
          <cell r="AF36">
            <v>5000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99100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700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5031.84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239100</v>
          </cell>
          <cell r="AF20">
            <v>222826</v>
          </cell>
          <cell r="AG20">
            <v>238203.3</v>
          </cell>
        </row>
        <row r="21">
          <cell r="AC21">
            <v>405950</v>
          </cell>
          <cell r="AD21">
            <v>25392</v>
          </cell>
          <cell r="AF21">
            <v>343767</v>
          </cell>
          <cell r="AG21">
            <v>25391.54</v>
          </cell>
        </row>
        <row r="22">
          <cell r="AC22">
            <v>599619</v>
          </cell>
          <cell r="AD22">
            <v>11306</v>
          </cell>
          <cell r="AF22">
            <v>552454.80000000005</v>
          </cell>
          <cell r="AG22">
            <v>11305.2</v>
          </cell>
        </row>
        <row r="23">
          <cell r="AC23">
            <v>0</v>
          </cell>
          <cell r="AD23">
            <v>0</v>
          </cell>
        </row>
        <row r="24">
          <cell r="AC24">
            <v>316410</v>
          </cell>
          <cell r="AD24">
            <v>0</v>
          </cell>
          <cell r="AF24">
            <v>255342</v>
          </cell>
        </row>
        <row r="25">
          <cell r="AC25">
            <v>330150</v>
          </cell>
          <cell r="AD25">
            <v>3000</v>
          </cell>
          <cell r="AF25">
            <v>285614</v>
          </cell>
          <cell r="AG25">
            <v>3000</v>
          </cell>
        </row>
        <row r="26">
          <cell r="AC26">
            <v>336880</v>
          </cell>
          <cell r="AD26">
            <v>0</v>
          </cell>
          <cell r="AF26">
            <v>275760</v>
          </cell>
        </row>
        <row r="27">
          <cell r="AC27">
            <v>89572</v>
          </cell>
          <cell r="AD27">
            <v>0</v>
          </cell>
          <cell r="AF27">
            <v>73415</v>
          </cell>
        </row>
        <row r="29">
          <cell r="AC29">
            <v>762220</v>
          </cell>
          <cell r="AD29">
            <v>80000</v>
          </cell>
          <cell r="AE29">
            <v>0</v>
          </cell>
          <cell r="AF29">
            <v>629896</v>
          </cell>
          <cell r="AG29">
            <v>80000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943671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1591120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1417500</v>
          </cell>
          <cell r="AG41">
            <v>0</v>
          </cell>
          <cell r="AH41">
            <v>0</v>
          </cell>
        </row>
        <row r="44">
          <cell r="AC44">
            <v>1313458</v>
          </cell>
          <cell r="AD44">
            <v>80982</v>
          </cell>
          <cell r="AE44">
            <v>0</v>
          </cell>
          <cell r="AF44">
            <v>1064793.49</v>
          </cell>
          <cell r="AG44">
            <v>80981.509999999995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617868</v>
          </cell>
          <cell r="AG47">
            <v>0</v>
          </cell>
          <cell r="AH47">
            <v>0</v>
          </cell>
        </row>
        <row r="51">
          <cell r="AC51">
            <v>765648</v>
          </cell>
          <cell r="AF51">
            <v>653500</v>
          </cell>
        </row>
        <row r="52">
          <cell r="AC52">
            <v>323370</v>
          </cell>
          <cell r="AF52">
            <v>269477</v>
          </cell>
        </row>
        <row r="53">
          <cell r="AC53">
            <v>1076460</v>
          </cell>
          <cell r="AD53">
            <v>0</v>
          </cell>
          <cell r="AE53">
            <v>0</v>
          </cell>
          <cell r="AF53">
            <v>865748.72</v>
          </cell>
          <cell r="AG53">
            <v>0</v>
          </cell>
          <cell r="AH53">
            <v>0</v>
          </cell>
        </row>
        <row r="77">
          <cell r="AC77">
            <v>1186835</v>
          </cell>
          <cell r="AD77">
            <v>27305</v>
          </cell>
          <cell r="AF77">
            <v>820404.94</v>
          </cell>
          <cell r="AG77">
            <v>27300.960000000003</v>
          </cell>
        </row>
        <row r="78">
          <cell r="AC78">
            <v>254474</v>
          </cell>
          <cell r="AD78">
            <v>4608</v>
          </cell>
          <cell r="AE78">
            <v>0</v>
          </cell>
          <cell r="AF78">
            <v>74647.3</v>
          </cell>
          <cell r="AG78">
            <v>0</v>
          </cell>
          <cell r="AH78">
            <v>0</v>
          </cell>
        </row>
        <row r="85">
          <cell r="AC85">
            <v>1537935</v>
          </cell>
          <cell r="AF85">
            <v>1007824.0700000001</v>
          </cell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2001.37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35622.649999999994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61193.88</v>
          </cell>
          <cell r="AG32">
            <v>0</v>
          </cell>
          <cell r="AH32">
            <v>0</v>
          </cell>
        </row>
        <row r="54">
          <cell r="AC54">
            <v>34500</v>
          </cell>
          <cell r="AD54">
            <v>0</v>
          </cell>
          <cell r="AE54">
            <v>0</v>
          </cell>
          <cell r="AF54">
            <v>19453.18</v>
          </cell>
          <cell r="AG54">
            <v>0</v>
          </cell>
          <cell r="AH54">
            <v>0</v>
          </cell>
        </row>
        <row r="66">
          <cell r="AC66">
            <v>251200</v>
          </cell>
          <cell r="AD66">
            <v>0</v>
          </cell>
          <cell r="AE66">
            <v>0</v>
          </cell>
          <cell r="AF66">
            <v>152251.11999999997</v>
          </cell>
          <cell r="AG66">
            <v>0</v>
          </cell>
          <cell r="AH66">
            <v>0</v>
          </cell>
        </row>
        <row r="87">
          <cell r="AC87">
            <v>13350</v>
          </cell>
          <cell r="AD87">
            <v>0</v>
          </cell>
          <cell r="AE87">
            <v>0</v>
          </cell>
          <cell r="AF87">
            <v>6389.67</v>
          </cell>
          <cell r="AG87">
            <v>0</v>
          </cell>
          <cell r="AH87">
            <v>0</v>
          </cell>
        </row>
        <row r="95">
          <cell r="AC95">
            <v>1000</v>
          </cell>
          <cell r="AD95">
            <v>0</v>
          </cell>
          <cell r="AE95">
            <v>0</v>
          </cell>
          <cell r="AF95">
            <v>110</v>
          </cell>
          <cell r="AG95">
            <v>2000</v>
          </cell>
          <cell r="AH95">
            <v>0</v>
          </cell>
        </row>
        <row r="101">
          <cell r="AC101">
            <v>22000</v>
          </cell>
          <cell r="AD101">
            <v>0</v>
          </cell>
          <cell r="AE101">
            <v>0</v>
          </cell>
          <cell r="AF101">
            <v>20553.57</v>
          </cell>
          <cell r="AG101">
            <v>0</v>
          </cell>
          <cell r="AH101">
            <v>0</v>
          </cell>
        </row>
        <row r="109">
          <cell r="AC109">
            <v>3000</v>
          </cell>
          <cell r="AD109">
            <v>0</v>
          </cell>
          <cell r="AE109">
            <v>0</v>
          </cell>
          <cell r="AF109">
            <v>3000</v>
          </cell>
          <cell r="AG109">
            <v>0</v>
          </cell>
          <cell r="AH109">
            <v>0</v>
          </cell>
        </row>
      </sheetData>
      <sheetData sheetId="10">
        <row r="4">
          <cell r="AC4">
            <v>18700</v>
          </cell>
          <cell r="AD4">
            <v>0</v>
          </cell>
          <cell r="AE4">
            <v>0</v>
          </cell>
          <cell r="AF4">
            <v>11073.48</v>
          </cell>
          <cell r="AG4">
            <v>0</v>
          </cell>
          <cell r="AH4">
            <v>0</v>
          </cell>
        </row>
        <row r="20">
          <cell r="AC20">
            <v>203000</v>
          </cell>
          <cell r="AD20">
            <v>0</v>
          </cell>
          <cell r="AE20">
            <v>0</v>
          </cell>
          <cell r="AF20">
            <v>164319.06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260</v>
          </cell>
          <cell r="AG27">
            <v>0</v>
          </cell>
          <cell r="AH27">
            <v>0</v>
          </cell>
        </row>
        <row r="37">
          <cell r="AC37">
            <v>776900</v>
          </cell>
          <cell r="AD37">
            <v>498090</v>
          </cell>
          <cell r="AE37">
            <v>0</v>
          </cell>
          <cell r="AF37">
            <v>646174.56999999995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4524.3099999999995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3000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365500</v>
          </cell>
          <cell r="AD5">
            <v>727000</v>
          </cell>
          <cell r="AE5">
            <v>0</v>
          </cell>
          <cell r="AF5">
            <v>236089.56</v>
          </cell>
          <cell r="AG5">
            <v>684597.76000000001</v>
          </cell>
          <cell r="AH5">
            <v>0</v>
          </cell>
        </row>
        <row r="23">
          <cell r="AC23">
            <v>6604</v>
          </cell>
          <cell r="AD23">
            <v>0</v>
          </cell>
          <cell r="AE23">
            <v>0</v>
          </cell>
          <cell r="AF23">
            <v>4854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4078</v>
          </cell>
          <cell r="AD46">
            <v>0</v>
          </cell>
          <cell r="AE46">
            <v>0</v>
          </cell>
          <cell r="AF46">
            <v>2268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15010.61</v>
          </cell>
          <cell r="AG49">
            <v>0</v>
          </cell>
          <cell r="AH49">
            <v>0</v>
          </cell>
        </row>
        <row r="70">
          <cell r="AC70">
            <v>1600</v>
          </cell>
          <cell r="AD70">
            <v>0</v>
          </cell>
          <cell r="AE70">
            <v>0</v>
          </cell>
          <cell r="AF70">
            <v>533.16999999999996</v>
          </cell>
          <cell r="AG70">
            <v>0</v>
          </cell>
          <cell r="AH70">
            <v>0</v>
          </cell>
        </row>
        <row r="72">
          <cell r="AC72">
            <v>32100</v>
          </cell>
          <cell r="AD72">
            <v>0</v>
          </cell>
          <cell r="AE72">
            <v>0</v>
          </cell>
          <cell r="AF72">
            <v>34307.259999999995</v>
          </cell>
          <cell r="AG72">
            <v>0</v>
          </cell>
          <cell r="AH72">
            <v>0</v>
          </cell>
        </row>
        <row r="76">
          <cell r="AC76">
            <v>41000</v>
          </cell>
          <cell r="AD76">
            <v>10000</v>
          </cell>
          <cell r="AE76">
            <v>0</v>
          </cell>
          <cell r="AF76">
            <v>22522.640000000003</v>
          </cell>
          <cell r="AG76">
            <v>9990</v>
          </cell>
          <cell r="AH76">
            <v>0</v>
          </cell>
        </row>
        <row r="104"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12">
        <row r="5">
          <cell r="AC5">
            <v>37090</v>
          </cell>
          <cell r="AD5">
            <v>0</v>
          </cell>
          <cell r="AE5">
            <v>0</v>
          </cell>
          <cell r="AF5">
            <v>32689.5</v>
          </cell>
          <cell r="AG5">
            <v>0</v>
          </cell>
          <cell r="AH5">
            <v>0</v>
          </cell>
        </row>
        <row r="9">
          <cell r="AC9">
            <v>11000</v>
          </cell>
          <cell r="AD9">
            <v>0</v>
          </cell>
          <cell r="AE9">
            <v>0</v>
          </cell>
          <cell r="AF9">
            <v>7230.4</v>
          </cell>
          <cell r="AG9">
            <v>0</v>
          </cell>
          <cell r="AH9">
            <v>0</v>
          </cell>
        </row>
        <row r="17">
          <cell r="AC17">
            <v>92220</v>
          </cell>
          <cell r="AD17">
            <v>16000</v>
          </cell>
          <cell r="AE17">
            <v>0</v>
          </cell>
          <cell r="AF17">
            <v>92220</v>
          </cell>
          <cell r="AG17">
            <v>15981.96</v>
          </cell>
          <cell r="AH17">
            <v>0</v>
          </cell>
        </row>
        <row r="21">
          <cell r="AC21">
            <v>38400</v>
          </cell>
          <cell r="AD21">
            <v>0</v>
          </cell>
          <cell r="AE21">
            <v>0</v>
          </cell>
          <cell r="AF21">
            <v>33015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122560</v>
          </cell>
          <cell r="AD26">
            <v>0</v>
          </cell>
          <cell r="AE26">
            <v>0</v>
          </cell>
          <cell r="AF26">
            <v>116021.42</v>
          </cell>
          <cell r="AG26">
            <v>0</v>
          </cell>
          <cell r="AH26">
            <v>0</v>
          </cell>
        </row>
        <row r="30">
          <cell r="AC30">
            <v>65740</v>
          </cell>
          <cell r="AD30">
            <v>0</v>
          </cell>
          <cell r="AE30">
            <v>0</v>
          </cell>
          <cell r="AF30">
            <v>57215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1505505</v>
          </cell>
          <cell r="AD35">
            <v>10000</v>
          </cell>
          <cell r="AE35">
            <v>0</v>
          </cell>
          <cell r="AF35">
            <v>1127814.5899999999</v>
          </cell>
          <cell r="AG35">
            <v>5369.71</v>
          </cell>
          <cell r="AH35">
            <v>0</v>
          </cell>
        </row>
        <row r="50">
          <cell r="AC50">
            <v>253440</v>
          </cell>
          <cell r="AD50">
            <v>0</v>
          </cell>
          <cell r="AE50">
            <v>0</v>
          </cell>
          <cell r="AF50">
            <v>246238</v>
          </cell>
          <cell r="AG50">
            <v>0</v>
          </cell>
          <cell r="AH50">
            <v>0</v>
          </cell>
        </row>
        <row r="55">
          <cell r="AC55">
            <v>44420</v>
          </cell>
          <cell r="AD55">
            <v>0</v>
          </cell>
          <cell r="AE55">
            <v>0</v>
          </cell>
          <cell r="AF55">
            <v>44272</v>
          </cell>
          <cell r="AG55">
            <v>0</v>
          </cell>
          <cell r="AH55">
            <v>0</v>
          </cell>
        </row>
        <row r="59">
          <cell r="AC59">
            <v>4560</v>
          </cell>
          <cell r="AD59">
            <v>0</v>
          </cell>
          <cell r="AE59">
            <v>0</v>
          </cell>
          <cell r="AF59">
            <v>3970</v>
          </cell>
          <cell r="AG59">
            <v>0</v>
          </cell>
          <cell r="AH59">
            <v>0</v>
          </cell>
        </row>
        <row r="62">
          <cell r="AC62">
            <v>71580</v>
          </cell>
          <cell r="AD62">
            <v>0</v>
          </cell>
          <cell r="AE62">
            <v>0</v>
          </cell>
          <cell r="AF62">
            <v>71875</v>
          </cell>
          <cell r="AG62">
            <v>0</v>
          </cell>
          <cell r="AH62">
            <v>0</v>
          </cell>
        </row>
        <row r="65">
          <cell r="AC65">
            <v>8090</v>
          </cell>
          <cell r="AD65">
            <v>0</v>
          </cell>
          <cell r="AE65">
            <v>0</v>
          </cell>
          <cell r="AF65">
            <v>7069.5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16.600000000000001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10266.709999999999</v>
          </cell>
          <cell r="AG104">
            <v>0</v>
          </cell>
          <cell r="AH104">
            <v>0</v>
          </cell>
        </row>
        <row r="106">
          <cell r="AC106">
            <v>160890</v>
          </cell>
          <cell r="AD106">
            <v>0</v>
          </cell>
          <cell r="AE106">
            <v>0</v>
          </cell>
          <cell r="AF106">
            <v>143964.64000000001</v>
          </cell>
          <cell r="AG106">
            <v>0</v>
          </cell>
          <cell r="AH106">
            <v>0</v>
          </cell>
        </row>
        <row r="112">
          <cell r="AC112">
            <v>572400</v>
          </cell>
          <cell r="AD112">
            <v>0</v>
          </cell>
          <cell r="AE112">
            <v>7150</v>
          </cell>
          <cell r="AF112">
            <v>513655</v>
          </cell>
          <cell r="AG112">
            <v>0</v>
          </cell>
          <cell r="AH112">
            <v>4429.8</v>
          </cell>
        </row>
      </sheetData>
      <sheetData sheetId="13">
        <row r="24">
          <cell r="AC24">
            <v>676305</v>
          </cell>
          <cell r="AD24">
            <v>0</v>
          </cell>
          <cell r="AE24">
            <v>212945</v>
          </cell>
          <cell r="AF24">
            <v>588078.97</v>
          </cell>
          <cell r="AG24">
            <v>0</v>
          </cell>
          <cell r="AH24">
            <v>186337.50999999998</v>
          </cell>
        </row>
      </sheetData>
      <sheetData sheetId="14">
        <row r="4">
          <cell r="AC4">
            <v>2530160</v>
          </cell>
          <cell r="AD4">
            <v>52732</v>
          </cell>
          <cell r="AE4">
            <v>0</v>
          </cell>
          <cell r="AF4">
            <v>2091861.7999999993</v>
          </cell>
          <cell r="AG4">
            <v>4273.2</v>
          </cell>
          <cell r="AH4">
            <v>0</v>
          </cell>
        </row>
        <row r="103">
          <cell r="AC103">
            <v>310631</v>
          </cell>
          <cell r="AD103">
            <v>0</v>
          </cell>
          <cell r="AE103">
            <v>5351744</v>
          </cell>
          <cell r="AF103">
            <v>257750.44</v>
          </cell>
          <cell r="AG103">
            <v>0</v>
          </cell>
          <cell r="AH103">
            <v>4869826.93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  <col min="4" max="4" width="10.5703125" bestFit="1" customWidth="1"/>
  </cols>
  <sheetData>
    <row r="1" spans="1:3" ht="28.5" customHeight="1" thickBot="1" x14ac:dyDescent="0.45">
      <c r="A1" s="696" t="s">
        <v>640</v>
      </c>
      <c r="B1" s="696"/>
      <c r="C1" s="696"/>
    </row>
    <row r="2" spans="1:3" ht="21" thickBot="1" x14ac:dyDescent="0.35">
      <c r="A2" s="299" t="s">
        <v>404</v>
      </c>
      <c r="B2" s="251" t="s">
        <v>626</v>
      </c>
      <c r="C2" s="358" t="s">
        <v>627</v>
      </c>
    </row>
    <row r="3" spans="1:3" ht="18.75" thickBot="1" x14ac:dyDescent="0.3">
      <c r="A3" s="300" t="s">
        <v>406</v>
      </c>
      <c r="B3" s="301">
        <f t="shared" ref="B3" si="0">B4+B17</f>
        <v>27635893</v>
      </c>
      <c r="C3" s="359">
        <f>C4+C17</f>
        <v>22874050.359999999</v>
      </c>
    </row>
    <row r="4" spans="1:3" ht="18" x14ac:dyDescent="0.25">
      <c r="A4" s="302" t="s">
        <v>5</v>
      </c>
      <c r="B4" s="303">
        <f t="shared" ref="B4:C4" si="1">B5+B7+B9</f>
        <v>13022000</v>
      </c>
      <c r="C4" s="360">
        <f t="shared" si="1"/>
        <v>10714032.41</v>
      </c>
    </row>
    <row r="5" spans="1:3" ht="15.75" x14ac:dyDescent="0.25">
      <c r="A5" s="304" t="s">
        <v>6</v>
      </c>
      <c r="B5" s="259">
        <f t="shared" ref="B5:C5" si="2">SUM(B6)</f>
        <v>10100000</v>
      </c>
      <c r="C5" s="361">
        <f t="shared" si="2"/>
        <v>8156187.2599999998</v>
      </c>
    </row>
    <row r="6" spans="1:3" ht="15.75" x14ac:dyDescent="0.25">
      <c r="A6" s="305" t="s">
        <v>7</v>
      </c>
      <c r="B6" s="306">
        <v>10100000</v>
      </c>
      <c r="C6" s="362">
        <v>8156187.2599999998</v>
      </c>
    </row>
    <row r="7" spans="1:3" ht="15.75" x14ac:dyDescent="0.25">
      <c r="A7" s="307" t="s">
        <v>8</v>
      </c>
      <c r="B7" s="259">
        <f t="shared" ref="B7:C7" si="3">SUM(B8)</f>
        <v>1600000</v>
      </c>
      <c r="C7" s="361">
        <f t="shared" si="3"/>
        <v>1487943.08</v>
      </c>
    </row>
    <row r="8" spans="1:3" ht="15.75" x14ac:dyDescent="0.25">
      <c r="A8" s="308" t="s">
        <v>9</v>
      </c>
      <c r="B8" s="306">
        <v>1600000</v>
      </c>
      <c r="C8" s="362">
        <v>1487943.08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1069902.07</v>
      </c>
    </row>
    <row r="10" spans="1:3" ht="15.75" x14ac:dyDescent="0.25">
      <c r="A10" s="309" t="s">
        <v>11</v>
      </c>
      <c r="B10" s="421">
        <v>30000</v>
      </c>
      <c r="C10" s="363">
        <v>18181</v>
      </c>
    </row>
    <row r="11" spans="1:3" ht="15.75" x14ac:dyDescent="0.25">
      <c r="A11" s="309" t="s">
        <v>428</v>
      </c>
      <c r="B11" s="421">
        <v>30000</v>
      </c>
      <c r="C11" s="363">
        <v>16240.8</v>
      </c>
    </row>
    <row r="12" spans="1:3" ht="15.75" x14ac:dyDescent="0.25">
      <c r="A12" s="309" t="s">
        <v>12</v>
      </c>
      <c r="B12" s="421">
        <v>160000</v>
      </c>
      <c r="C12" s="363">
        <v>149106.42000000001</v>
      </c>
    </row>
    <row r="13" spans="1:3" ht="15.75" x14ac:dyDescent="0.25">
      <c r="A13" s="309" t="s">
        <v>13</v>
      </c>
      <c r="B13" s="421">
        <v>30000</v>
      </c>
      <c r="C13" s="363">
        <v>8780.44</v>
      </c>
    </row>
    <row r="14" spans="1:3" ht="15.75" x14ac:dyDescent="0.25">
      <c r="A14" s="309" t="s">
        <v>14</v>
      </c>
      <c r="B14" s="421">
        <v>720000</v>
      </c>
      <c r="C14" s="363">
        <v>642593.80000000005</v>
      </c>
    </row>
    <row r="15" spans="1:3" ht="15.75" x14ac:dyDescent="0.25">
      <c r="A15" s="309" t="s">
        <v>15</v>
      </c>
      <c r="B15" s="260">
        <v>220000</v>
      </c>
      <c r="C15" s="366">
        <v>189774.61</v>
      </c>
    </row>
    <row r="16" spans="1:3" ht="15.75" x14ac:dyDescent="0.25">
      <c r="A16" s="309" t="s">
        <v>558</v>
      </c>
      <c r="B16" s="422">
        <v>132000</v>
      </c>
      <c r="C16" s="364">
        <v>45225</v>
      </c>
    </row>
    <row r="17" spans="1:3" s="346" customFormat="1" ht="18.75" x14ac:dyDescent="0.3">
      <c r="A17" s="310" t="s">
        <v>16</v>
      </c>
      <c r="B17" s="347">
        <f>B18+B29+B52+B61</f>
        <v>14613893</v>
      </c>
      <c r="C17" s="365">
        <f>C18+C29+C52+C61</f>
        <v>12160017.949999999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1089119.18</v>
      </c>
    </row>
    <row r="19" spans="1:3" ht="15.75" x14ac:dyDescent="0.25">
      <c r="A19" s="305" t="s">
        <v>18</v>
      </c>
      <c r="B19" s="260">
        <v>100000</v>
      </c>
      <c r="C19" s="366">
        <v>120206.16</v>
      </c>
    </row>
    <row r="20" spans="1:3" ht="15.75" x14ac:dyDescent="0.25">
      <c r="A20" s="305" t="s">
        <v>411</v>
      </c>
      <c r="B20" s="260">
        <v>30000</v>
      </c>
      <c r="C20" s="366">
        <v>14686</v>
      </c>
    </row>
    <row r="21" spans="1:3" ht="15.75" x14ac:dyDescent="0.25">
      <c r="A21" s="305" t="s">
        <v>19</v>
      </c>
      <c r="B21" s="260">
        <v>2000</v>
      </c>
      <c r="C21" s="366">
        <v>7350.5</v>
      </c>
    </row>
    <row r="22" spans="1:3" ht="15.75" x14ac:dyDescent="0.25">
      <c r="A22" s="305" t="s">
        <v>541</v>
      </c>
      <c r="B22" s="260">
        <v>850000</v>
      </c>
      <c r="C22" s="366">
        <v>825595.44</v>
      </c>
    </row>
    <row r="23" spans="1:3" ht="15.75" x14ac:dyDescent="0.25">
      <c r="A23" s="305" t="s">
        <v>22</v>
      </c>
      <c r="B23" s="260">
        <v>30000</v>
      </c>
      <c r="C23" s="366">
        <v>20448.3</v>
      </c>
    </row>
    <row r="24" spans="1:3" ht="15.75" x14ac:dyDescent="0.25">
      <c r="A24" s="305" t="s">
        <v>23</v>
      </c>
      <c r="B24" s="260">
        <v>12000</v>
      </c>
      <c r="C24" s="366">
        <v>7712.41</v>
      </c>
    </row>
    <row r="25" spans="1:3" ht="15.75" x14ac:dyDescent="0.25">
      <c r="A25" s="305" t="s">
        <v>24</v>
      </c>
      <c r="B25" s="260">
        <v>5400</v>
      </c>
      <c r="C25" s="366">
        <v>4535.6000000000004</v>
      </c>
    </row>
    <row r="26" spans="1:3" ht="15.75" x14ac:dyDescent="0.25">
      <c r="A26" s="305" t="s">
        <v>25</v>
      </c>
      <c r="B26" s="260">
        <v>25000</v>
      </c>
      <c r="C26" s="366">
        <v>20025.3</v>
      </c>
    </row>
    <row r="27" spans="1:3" ht="15.75" x14ac:dyDescent="0.25">
      <c r="A27" s="305" t="s">
        <v>26</v>
      </c>
      <c r="B27" s="260">
        <v>45000</v>
      </c>
      <c r="C27" s="366">
        <v>47687.08</v>
      </c>
    </row>
    <row r="28" spans="1:3" ht="15.75" x14ac:dyDescent="0.25">
      <c r="A28" s="308" t="s">
        <v>28</v>
      </c>
      <c r="B28" s="311">
        <v>20000</v>
      </c>
      <c r="C28" s="367">
        <v>20872.39</v>
      </c>
    </row>
    <row r="29" spans="1:3" s="336" customFormat="1" ht="15.75" x14ac:dyDescent="0.25">
      <c r="A29" s="304" t="s">
        <v>29</v>
      </c>
      <c r="B29" s="259">
        <f>SUM(B30:B51)</f>
        <v>2433000</v>
      </c>
      <c r="C29" s="361">
        <f>SUM(C30:C51)</f>
        <v>1632874.53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25895.4</v>
      </c>
    </row>
    <row r="32" spans="1:3" ht="15.75" x14ac:dyDescent="0.25">
      <c r="A32" s="305" t="s">
        <v>32</v>
      </c>
      <c r="B32" s="260">
        <v>7000</v>
      </c>
      <c r="C32" s="366">
        <v>5913.5</v>
      </c>
    </row>
    <row r="33" spans="1:3" ht="15.75" x14ac:dyDescent="0.25">
      <c r="A33" s="305" t="s">
        <v>537</v>
      </c>
      <c r="B33" s="260">
        <v>1500</v>
      </c>
      <c r="C33" s="366">
        <v>1276.5</v>
      </c>
    </row>
    <row r="34" spans="1:3" ht="15.75" x14ac:dyDescent="0.25">
      <c r="A34" s="305" t="s">
        <v>34</v>
      </c>
      <c r="B34" s="260">
        <v>1000</v>
      </c>
      <c r="C34" s="366">
        <v>552</v>
      </c>
    </row>
    <row r="35" spans="1:3" ht="15.75" x14ac:dyDescent="0.25">
      <c r="A35" s="305" t="s">
        <v>35</v>
      </c>
      <c r="B35" s="260">
        <v>32000</v>
      </c>
      <c r="C35" s="366">
        <v>21520</v>
      </c>
    </row>
    <row r="36" spans="1:3" ht="15.75" x14ac:dyDescent="0.25">
      <c r="A36" s="305" t="s">
        <v>592</v>
      </c>
      <c r="B36" s="260">
        <v>35000</v>
      </c>
      <c r="C36" s="366">
        <v>45273.35</v>
      </c>
    </row>
    <row r="37" spans="1:3" ht="15.75" x14ac:dyDescent="0.25">
      <c r="A37" s="305" t="s">
        <v>425</v>
      </c>
      <c r="B37" s="260">
        <v>6000</v>
      </c>
      <c r="C37" s="366">
        <v>760.22</v>
      </c>
    </row>
    <row r="38" spans="1:3" ht="15.75" x14ac:dyDescent="0.25">
      <c r="A38" s="305" t="s">
        <v>38</v>
      </c>
      <c r="B38" s="260">
        <v>25000</v>
      </c>
      <c r="C38" s="368">
        <v>12685.14</v>
      </c>
    </row>
    <row r="39" spans="1:3" ht="15.75" x14ac:dyDescent="0.25">
      <c r="A39" s="305" t="s">
        <v>39</v>
      </c>
      <c r="B39" s="260">
        <v>5000</v>
      </c>
      <c r="C39" s="368">
        <v>4385.43</v>
      </c>
    </row>
    <row r="40" spans="1:3" ht="15.75" x14ac:dyDescent="0.25">
      <c r="A40" s="312" t="s">
        <v>41</v>
      </c>
      <c r="B40" s="260">
        <v>16000</v>
      </c>
      <c r="C40" s="368">
        <v>15931.47</v>
      </c>
    </row>
    <row r="41" spans="1:3" ht="15.75" x14ac:dyDescent="0.25">
      <c r="A41" s="305" t="s">
        <v>44</v>
      </c>
      <c r="B41" s="260">
        <v>140000</v>
      </c>
      <c r="C41" s="366">
        <v>63110.76</v>
      </c>
    </row>
    <row r="42" spans="1:3" ht="15.75" x14ac:dyDescent="0.25">
      <c r="A42" s="305" t="s">
        <v>45</v>
      </c>
      <c r="B42" s="260">
        <v>90000</v>
      </c>
      <c r="C42" s="366">
        <v>61667.13</v>
      </c>
    </row>
    <row r="43" spans="1:3" ht="15.75" x14ac:dyDescent="0.25">
      <c r="A43" s="305" t="s">
        <v>454</v>
      </c>
      <c r="B43" s="260">
        <v>8000</v>
      </c>
      <c r="C43" s="366">
        <v>5112.3999999999996</v>
      </c>
    </row>
    <row r="44" spans="1:3" ht="15.75" x14ac:dyDescent="0.25">
      <c r="A44" s="305" t="s">
        <v>427</v>
      </c>
      <c r="B44" s="260">
        <v>12500</v>
      </c>
      <c r="C44" s="366">
        <v>10533</v>
      </c>
    </row>
    <row r="45" spans="1:3" ht="15.75" x14ac:dyDescent="0.25">
      <c r="A45" s="305" t="s">
        <v>51</v>
      </c>
      <c r="B45" s="260">
        <v>35000</v>
      </c>
      <c r="C45" s="366">
        <v>28502</v>
      </c>
    </row>
    <row r="46" spans="1:3" ht="15.75" x14ac:dyDescent="0.25">
      <c r="A46" s="305" t="s">
        <v>429</v>
      </c>
      <c r="B46" s="260">
        <v>480000</v>
      </c>
      <c r="C46" s="368">
        <v>388424.01</v>
      </c>
    </row>
    <row r="47" spans="1:3" ht="15.75" x14ac:dyDescent="0.25">
      <c r="A47" s="305" t="s">
        <v>584</v>
      </c>
      <c r="B47" s="260">
        <v>260000</v>
      </c>
      <c r="C47" s="368">
        <v>185457.64</v>
      </c>
    </row>
    <row r="48" spans="1:3" ht="15.75" x14ac:dyDescent="0.25">
      <c r="A48" s="305" t="s">
        <v>434</v>
      </c>
      <c r="B48" s="260">
        <v>10000</v>
      </c>
      <c r="C48" s="368">
        <v>8613.65</v>
      </c>
    </row>
    <row r="49" spans="1:4" s="485" customFormat="1" ht="15.75" x14ac:dyDescent="0.25">
      <c r="A49" s="309" t="s">
        <v>594</v>
      </c>
      <c r="B49" s="260">
        <v>641000</v>
      </c>
      <c r="C49" s="368">
        <v>492009.42</v>
      </c>
    </row>
    <row r="50" spans="1:4" s="485" customFormat="1" ht="15.75" x14ac:dyDescent="0.25">
      <c r="A50" s="309" t="s">
        <v>459</v>
      </c>
      <c r="B50" s="260">
        <v>600000</v>
      </c>
      <c r="C50" s="368">
        <v>255151.51</v>
      </c>
    </row>
    <row r="51" spans="1:4" ht="15.75" x14ac:dyDescent="0.25">
      <c r="A51" s="305" t="s">
        <v>55</v>
      </c>
      <c r="B51" s="311">
        <v>2000</v>
      </c>
      <c r="C51" s="367">
        <v>0</v>
      </c>
    </row>
    <row r="52" spans="1:4" ht="15.75" x14ac:dyDescent="0.25">
      <c r="A52" s="307" t="s">
        <v>581</v>
      </c>
      <c r="B52" s="259">
        <f>SUM(B53:B60)</f>
        <v>441815</v>
      </c>
      <c r="C52" s="361">
        <f>SUM(C53:C60)</f>
        <v>401640.07999999996</v>
      </c>
    </row>
    <row r="53" spans="1:4" ht="15.75" x14ac:dyDescent="0.25">
      <c r="A53" s="305" t="s">
        <v>433</v>
      </c>
      <c r="B53" s="260">
        <v>80000</v>
      </c>
      <c r="C53" s="368">
        <v>58932.98</v>
      </c>
    </row>
    <row r="54" spans="1:4" ht="15.75" x14ac:dyDescent="0.25">
      <c r="A54" s="305" t="s">
        <v>538</v>
      </c>
      <c r="B54" s="260">
        <v>10000</v>
      </c>
      <c r="C54" s="368">
        <v>9910.69</v>
      </c>
    </row>
    <row r="55" spans="1:4" ht="15.75" x14ac:dyDescent="0.25">
      <c r="A55" s="305" t="s">
        <v>426</v>
      </c>
      <c r="B55" s="260">
        <v>150000</v>
      </c>
      <c r="C55" s="368">
        <v>157006.57999999999</v>
      </c>
    </row>
    <row r="56" spans="1:4" ht="15.75" x14ac:dyDescent="0.25">
      <c r="A56" s="305" t="s">
        <v>455</v>
      </c>
      <c r="B56" s="260">
        <v>13500</v>
      </c>
      <c r="C56" s="368">
        <v>12139.16</v>
      </c>
    </row>
    <row r="57" spans="1:4" ht="15.75" x14ac:dyDescent="0.25">
      <c r="A57" s="305" t="s">
        <v>634</v>
      </c>
      <c r="B57" s="260">
        <v>15000</v>
      </c>
      <c r="C57" s="368"/>
    </row>
    <row r="58" spans="1:4" ht="15.75" x14ac:dyDescent="0.25">
      <c r="A58" s="305" t="s">
        <v>58</v>
      </c>
      <c r="B58" s="260">
        <v>2500</v>
      </c>
      <c r="C58" s="368">
        <v>1156.74</v>
      </c>
    </row>
    <row r="59" spans="1:4" ht="15.75" x14ac:dyDescent="0.25">
      <c r="A59" s="305" t="s">
        <v>590</v>
      </c>
      <c r="B59" s="260">
        <v>170315</v>
      </c>
      <c r="C59" s="368">
        <v>162306.51999999999</v>
      </c>
      <c r="D59" s="695"/>
    </row>
    <row r="60" spans="1:4" ht="15.75" x14ac:dyDescent="0.25">
      <c r="A60" s="305" t="s">
        <v>585</v>
      </c>
      <c r="B60" s="260">
        <v>500</v>
      </c>
      <c r="C60" s="368">
        <v>187.41</v>
      </c>
    </row>
    <row r="61" spans="1:4" s="336" customFormat="1" ht="15.75" x14ac:dyDescent="0.25">
      <c r="A61" s="334" t="s">
        <v>66</v>
      </c>
      <c r="B61" s="335">
        <f>SUM(B62:B92)</f>
        <v>10619678</v>
      </c>
      <c r="C61" s="369">
        <f>SUM(C62:C92)</f>
        <v>9036384.1600000001</v>
      </c>
    </row>
    <row r="62" spans="1:4" s="485" customFormat="1" ht="15.75" x14ac:dyDescent="0.25">
      <c r="A62" s="309" t="s">
        <v>68</v>
      </c>
      <c r="B62" s="260">
        <v>40000</v>
      </c>
      <c r="C62" s="368">
        <v>36436.97</v>
      </c>
    </row>
    <row r="63" spans="1:4" s="485" customFormat="1" ht="15.75" x14ac:dyDescent="0.25">
      <c r="A63" s="309" t="s">
        <v>448</v>
      </c>
      <c r="B63" s="260">
        <v>1400</v>
      </c>
      <c r="C63" s="368">
        <v>1400</v>
      </c>
    </row>
    <row r="64" spans="1:4" s="485" customFormat="1" ht="15.75" x14ac:dyDescent="0.25">
      <c r="A64" s="309" t="s">
        <v>532</v>
      </c>
      <c r="B64" s="260">
        <v>600</v>
      </c>
      <c r="C64" s="368">
        <v>600</v>
      </c>
    </row>
    <row r="65" spans="1:3" s="485" customFormat="1" ht="15.75" x14ac:dyDescent="0.25">
      <c r="A65" s="309" t="s">
        <v>622</v>
      </c>
      <c r="B65" s="260">
        <v>1560</v>
      </c>
      <c r="C65" s="368">
        <v>1200</v>
      </c>
    </row>
    <row r="66" spans="1:3" s="485" customFormat="1" ht="15.75" x14ac:dyDescent="0.25">
      <c r="A66" s="309" t="s">
        <v>447</v>
      </c>
      <c r="B66" s="260">
        <v>2600</v>
      </c>
      <c r="C66" s="368">
        <v>4030</v>
      </c>
    </row>
    <row r="67" spans="1:3" s="485" customFormat="1" ht="15.75" x14ac:dyDescent="0.25">
      <c r="A67" s="553" t="s">
        <v>435</v>
      </c>
      <c r="B67" s="260">
        <v>50000</v>
      </c>
      <c r="C67" s="368">
        <v>41260.14</v>
      </c>
    </row>
    <row r="68" spans="1:3" s="485" customFormat="1" ht="15.75" x14ac:dyDescent="0.25">
      <c r="A68" s="553" t="s">
        <v>542</v>
      </c>
      <c r="B68" s="260">
        <v>10000</v>
      </c>
      <c r="C68" s="368"/>
    </row>
    <row r="69" spans="1:3" s="485" customFormat="1" ht="15.75" x14ac:dyDescent="0.25">
      <c r="A69" s="312" t="s">
        <v>615</v>
      </c>
      <c r="B69" s="260">
        <v>1672</v>
      </c>
      <c r="C69" s="368">
        <v>1672</v>
      </c>
    </row>
    <row r="70" spans="1:3" s="485" customFormat="1" ht="15.75" x14ac:dyDescent="0.25">
      <c r="A70" s="312" t="s">
        <v>616</v>
      </c>
      <c r="B70" s="260">
        <v>5665</v>
      </c>
      <c r="C70" s="368">
        <v>5660.68</v>
      </c>
    </row>
    <row r="71" spans="1:3" s="485" customFormat="1" ht="15.75" x14ac:dyDescent="0.25">
      <c r="A71" s="553" t="s">
        <v>625</v>
      </c>
      <c r="B71" s="260"/>
      <c r="C71" s="368">
        <v>183322</v>
      </c>
    </row>
    <row r="72" spans="1:3" s="485" customFormat="1" ht="15.75" x14ac:dyDescent="0.25">
      <c r="A72" s="309" t="s">
        <v>560</v>
      </c>
      <c r="B72" s="260">
        <v>10000</v>
      </c>
      <c r="C72" s="368">
        <v>7470.4</v>
      </c>
    </row>
    <row r="73" spans="1:3" s="485" customFormat="1" ht="15.75" x14ac:dyDescent="0.25">
      <c r="A73" s="309" t="s">
        <v>561</v>
      </c>
      <c r="B73" s="260">
        <v>369090</v>
      </c>
      <c r="C73" s="368">
        <v>363006.92</v>
      </c>
    </row>
    <row r="74" spans="1:3" s="485" customFormat="1" ht="15.75" x14ac:dyDescent="0.25">
      <c r="A74" s="309" t="s">
        <v>562</v>
      </c>
      <c r="B74" s="260">
        <v>634620</v>
      </c>
      <c r="C74" s="368">
        <v>632609.24</v>
      </c>
    </row>
    <row r="75" spans="1:3" s="485" customFormat="1" ht="15.75" x14ac:dyDescent="0.25">
      <c r="A75" s="309" t="s">
        <v>563</v>
      </c>
      <c r="B75" s="260">
        <v>20500</v>
      </c>
      <c r="C75" s="368">
        <v>20497.349999999999</v>
      </c>
    </row>
    <row r="76" spans="1:3" s="485" customFormat="1" ht="15.75" x14ac:dyDescent="0.25">
      <c r="A76" s="553" t="s">
        <v>564</v>
      </c>
      <c r="B76" s="260">
        <v>6005928</v>
      </c>
      <c r="C76" s="368">
        <v>4990379</v>
      </c>
    </row>
    <row r="77" spans="1:3" s="485" customFormat="1" ht="15.75" x14ac:dyDescent="0.25">
      <c r="A77" s="553" t="s">
        <v>565</v>
      </c>
      <c r="B77" s="260">
        <v>32000</v>
      </c>
      <c r="C77" s="368">
        <v>33520.11</v>
      </c>
    </row>
    <row r="78" spans="1:3" s="485" customFormat="1" ht="15.75" x14ac:dyDescent="0.25">
      <c r="A78" s="553" t="s">
        <v>566</v>
      </c>
      <c r="B78" s="260">
        <v>12000</v>
      </c>
      <c r="C78" s="368">
        <v>10846.38</v>
      </c>
    </row>
    <row r="79" spans="1:3" s="485" customFormat="1" ht="15.75" x14ac:dyDescent="0.25">
      <c r="A79" s="553" t="s">
        <v>567</v>
      </c>
      <c r="B79" s="260">
        <v>2000</v>
      </c>
      <c r="C79" s="368">
        <v>887.85</v>
      </c>
    </row>
    <row r="80" spans="1:3" s="485" customFormat="1" ht="15.75" x14ac:dyDescent="0.25">
      <c r="A80" s="553" t="s">
        <v>568</v>
      </c>
      <c r="B80" s="260">
        <v>2500</v>
      </c>
      <c r="C80" s="368">
        <v>2487.31</v>
      </c>
    </row>
    <row r="81" spans="1:3" s="485" customFormat="1" ht="15.75" x14ac:dyDescent="0.25">
      <c r="A81" s="553" t="s">
        <v>569</v>
      </c>
      <c r="B81" s="260">
        <v>7500</v>
      </c>
      <c r="C81" s="368">
        <f>256.4+6782.16</f>
        <v>7038.5599999999995</v>
      </c>
    </row>
    <row r="82" spans="1:3" s="485" customFormat="1" ht="15.75" x14ac:dyDescent="0.25">
      <c r="A82" s="553" t="s">
        <v>570</v>
      </c>
      <c r="B82" s="260">
        <v>45000</v>
      </c>
      <c r="C82" s="368">
        <v>36295</v>
      </c>
    </row>
    <row r="83" spans="1:3" s="485" customFormat="1" ht="15.75" x14ac:dyDescent="0.25">
      <c r="A83" s="553" t="s">
        <v>571</v>
      </c>
      <c r="B83" s="260">
        <v>2009975</v>
      </c>
      <c r="C83" s="368">
        <v>1625284.2</v>
      </c>
    </row>
    <row r="84" spans="1:3" s="485" customFormat="1" ht="15.75" x14ac:dyDescent="0.25">
      <c r="A84" s="553" t="s">
        <v>586</v>
      </c>
      <c r="B84" s="260">
        <v>625800</v>
      </c>
      <c r="C84" s="368">
        <f>4795.54+412145.27</f>
        <v>416940.81</v>
      </c>
    </row>
    <row r="85" spans="1:3" s="485" customFormat="1" ht="15.75" x14ac:dyDescent="0.25">
      <c r="A85" s="553" t="s">
        <v>580</v>
      </c>
      <c r="B85" s="260">
        <v>7500</v>
      </c>
      <c r="C85" s="368">
        <v>3500</v>
      </c>
    </row>
    <row r="86" spans="1:3" s="485" customFormat="1" ht="15.75" x14ac:dyDescent="0.25">
      <c r="A86" s="553" t="s">
        <v>610</v>
      </c>
      <c r="B86" s="260">
        <v>500000</v>
      </c>
      <c r="C86" s="368">
        <v>441255</v>
      </c>
    </row>
    <row r="87" spans="1:3" s="485" customFormat="1" ht="15.75" x14ac:dyDescent="0.25">
      <c r="A87" s="553" t="s">
        <v>572</v>
      </c>
      <c r="B87" s="260"/>
      <c r="C87" s="368">
        <v>1612</v>
      </c>
    </row>
    <row r="88" spans="1:3" s="485" customFormat="1" ht="15" customHeight="1" x14ac:dyDescent="0.25">
      <c r="A88" s="553" t="s">
        <v>573</v>
      </c>
      <c r="B88" s="260">
        <v>44500</v>
      </c>
      <c r="C88" s="368">
        <v>46106.13</v>
      </c>
    </row>
    <row r="89" spans="1:3" s="485" customFormat="1" ht="15" customHeight="1" x14ac:dyDescent="0.25">
      <c r="A89" s="553" t="s">
        <v>574</v>
      </c>
      <c r="B89" s="260">
        <v>10000</v>
      </c>
      <c r="C89" s="368"/>
    </row>
    <row r="90" spans="1:3" s="485" customFormat="1" ht="15.75" x14ac:dyDescent="0.25">
      <c r="A90" s="553" t="s">
        <v>588</v>
      </c>
      <c r="B90" s="260">
        <v>60000</v>
      </c>
      <c r="C90" s="368">
        <v>51414.92</v>
      </c>
    </row>
    <row r="91" spans="1:3" s="485" customFormat="1" ht="15.75" x14ac:dyDescent="0.25">
      <c r="A91" s="553" t="s">
        <v>575</v>
      </c>
      <c r="B91" s="260">
        <v>105000</v>
      </c>
      <c r="C91" s="368">
        <v>67383.19</v>
      </c>
    </row>
    <row r="92" spans="1:3" s="485" customFormat="1" ht="16.5" thickBot="1" x14ac:dyDescent="0.3">
      <c r="A92" s="553" t="s">
        <v>576</v>
      </c>
      <c r="B92" s="260">
        <v>2268</v>
      </c>
      <c r="C92" s="368">
        <v>2268</v>
      </c>
    </row>
    <row r="93" spans="1:3" ht="18.75" thickBot="1" x14ac:dyDescent="0.3">
      <c r="A93" s="313" t="s">
        <v>407</v>
      </c>
      <c r="B93" s="314">
        <f>B94+B97</f>
        <v>5616072</v>
      </c>
      <c r="C93" s="370">
        <f>C94+C97</f>
        <v>2317971.6</v>
      </c>
    </row>
    <row r="94" spans="1:3" ht="18.75" thickBot="1" x14ac:dyDescent="0.3">
      <c r="A94" s="329" t="s">
        <v>111</v>
      </c>
      <c r="B94" s="330">
        <f>SUM(B95:B96)</f>
        <v>830000</v>
      </c>
      <c r="C94" s="371">
        <f>SUM(C95:C96)</f>
        <v>122249.2</v>
      </c>
    </row>
    <row r="95" spans="1:3" ht="15.75" x14ac:dyDescent="0.25">
      <c r="A95" s="316" t="s">
        <v>543</v>
      </c>
      <c r="B95" s="333">
        <v>30000</v>
      </c>
      <c r="C95" s="372"/>
    </row>
    <row r="96" spans="1:3" ht="16.5" thickBot="1" x14ac:dyDescent="0.3">
      <c r="A96" s="331" t="s">
        <v>115</v>
      </c>
      <c r="B96" s="332">
        <v>800000</v>
      </c>
      <c r="C96" s="373">
        <v>122249.2</v>
      </c>
    </row>
    <row r="97" spans="1:3" ht="18.75" thickBot="1" x14ac:dyDescent="0.3">
      <c r="A97" s="317" t="s">
        <v>116</v>
      </c>
      <c r="B97" s="318">
        <f>SUM(B98:B105)</f>
        <v>4786072</v>
      </c>
      <c r="C97" s="374">
        <f>SUM(C98:C105)</f>
        <v>2195722.4</v>
      </c>
    </row>
    <row r="98" spans="1:3" ht="15.75" x14ac:dyDescent="0.25">
      <c r="A98" s="305" t="s">
        <v>533</v>
      </c>
      <c r="B98" s="260">
        <v>2492000</v>
      </c>
      <c r="C98" s="366"/>
    </row>
    <row r="99" spans="1:3" s="485" customFormat="1" ht="15.75" x14ac:dyDescent="0.25">
      <c r="A99" s="309" t="s">
        <v>582</v>
      </c>
      <c r="B99" s="260">
        <v>370000</v>
      </c>
      <c r="C99" s="368">
        <v>262481.19</v>
      </c>
    </row>
    <row r="100" spans="1:3" s="485" customFormat="1" ht="15.75" x14ac:dyDescent="0.25">
      <c r="A100" s="309" t="s">
        <v>591</v>
      </c>
      <c r="B100" s="260">
        <v>96000</v>
      </c>
      <c r="C100" s="368">
        <v>96000</v>
      </c>
    </row>
    <row r="101" spans="1:3" s="485" customFormat="1" ht="15.75" x14ac:dyDescent="0.25">
      <c r="A101" s="309" t="s">
        <v>617</v>
      </c>
      <c r="B101" s="260">
        <v>1560500</v>
      </c>
      <c r="C101" s="368">
        <v>1554922.49</v>
      </c>
    </row>
    <row r="102" spans="1:3" s="485" customFormat="1" ht="15.75" x14ac:dyDescent="0.25">
      <c r="A102" s="309" t="s">
        <v>603</v>
      </c>
      <c r="B102" s="260">
        <v>264840</v>
      </c>
      <c r="C102" s="368">
        <v>264836.71999999997</v>
      </c>
    </row>
    <row r="103" spans="1:3" s="485" customFormat="1" ht="15.75" x14ac:dyDescent="0.25">
      <c r="A103" s="309" t="s">
        <v>663</v>
      </c>
      <c r="B103" s="260"/>
      <c r="C103" s="368">
        <v>9750</v>
      </c>
    </row>
    <row r="104" spans="1:3" s="485" customFormat="1" ht="15.75" x14ac:dyDescent="0.25">
      <c r="A104" s="309" t="s">
        <v>643</v>
      </c>
      <c r="B104" s="260">
        <v>2732</v>
      </c>
      <c r="C104" s="368">
        <v>2732</v>
      </c>
    </row>
    <row r="105" spans="1:3" s="485" customFormat="1" ht="16.5" thickBot="1" x14ac:dyDescent="0.3">
      <c r="A105" s="309" t="s">
        <v>664</v>
      </c>
      <c r="B105" s="260"/>
      <c r="C105" s="368">
        <v>5000</v>
      </c>
    </row>
    <row r="106" spans="1:3" ht="18.75" thickBot="1" x14ac:dyDescent="0.3">
      <c r="A106" s="252" t="s">
        <v>398</v>
      </c>
      <c r="B106" s="301">
        <f>SUM(B107:B113)</f>
        <v>4873650</v>
      </c>
      <c r="C106" s="359">
        <f>SUM(C107:C113)</f>
        <v>4487032.95</v>
      </c>
    </row>
    <row r="107" spans="1:3" s="485" customFormat="1" ht="15.75" x14ac:dyDescent="0.25">
      <c r="A107" s="309" t="s">
        <v>456</v>
      </c>
      <c r="B107" s="260">
        <v>562700</v>
      </c>
      <c r="C107" s="368">
        <v>562696.06000000006</v>
      </c>
    </row>
    <row r="108" spans="1:3" s="485" customFormat="1" ht="15.75" x14ac:dyDescent="0.25">
      <c r="A108" s="309" t="s">
        <v>536</v>
      </c>
      <c r="B108" s="260">
        <v>45000</v>
      </c>
      <c r="C108" s="368">
        <v>12038.04</v>
      </c>
    </row>
    <row r="109" spans="1:3" s="485" customFormat="1" ht="15.75" x14ac:dyDescent="0.25">
      <c r="A109" s="309" t="s">
        <v>457</v>
      </c>
      <c r="B109" s="260">
        <v>946250</v>
      </c>
      <c r="C109" s="368">
        <f>2338.49+82824.21+305589.61+205555.51+15000+237081.9+56923.89+40884.65</f>
        <v>946198.26000000013</v>
      </c>
    </row>
    <row r="110" spans="1:3" s="485" customFormat="1" ht="15.75" x14ac:dyDescent="0.25">
      <c r="A110" s="309" t="s">
        <v>534</v>
      </c>
      <c r="B110" s="260"/>
      <c r="C110" s="368">
        <v>8987.81</v>
      </c>
    </row>
    <row r="111" spans="1:3" s="485" customFormat="1" ht="15.75" x14ac:dyDescent="0.25">
      <c r="A111" s="309" t="s">
        <v>606</v>
      </c>
      <c r="B111" s="260">
        <v>7150</v>
      </c>
      <c r="C111" s="368">
        <v>4429.8</v>
      </c>
    </row>
    <row r="112" spans="1:3" s="485" customFormat="1" ht="15.75" x14ac:dyDescent="0.25">
      <c r="A112" s="309" t="s">
        <v>593</v>
      </c>
      <c r="B112" s="260">
        <v>3000000</v>
      </c>
      <c r="C112" s="368">
        <v>2640142.2999999998</v>
      </c>
    </row>
    <row r="113" spans="1:3" ht="16.5" thickBot="1" x14ac:dyDescent="0.3">
      <c r="A113" s="305" t="s">
        <v>129</v>
      </c>
      <c r="B113" s="423">
        <v>312550</v>
      </c>
      <c r="C113" s="563">
        <v>312540.68</v>
      </c>
    </row>
    <row r="114" spans="1:3" ht="24" thickBot="1" x14ac:dyDescent="0.4">
      <c r="A114" s="319" t="s">
        <v>130</v>
      </c>
      <c r="B114" s="320">
        <f>B106+B93+B3</f>
        <v>38125615</v>
      </c>
      <c r="C114" s="344">
        <f>C106+C93+C3</f>
        <v>29679054.91</v>
      </c>
    </row>
    <row r="115" spans="1:3" ht="15.75" x14ac:dyDescent="0.25">
      <c r="A115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1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697" t="s">
        <v>641</v>
      </c>
      <c r="C1" s="697"/>
      <c r="D1" s="697"/>
      <c r="E1" s="697"/>
      <c r="F1" s="697"/>
      <c r="G1" s="697"/>
      <c r="H1" s="697"/>
      <c r="I1" s="697"/>
      <c r="J1" s="697"/>
      <c r="K1" s="697"/>
    </row>
    <row r="2" spans="1:11" ht="7.5" customHeight="1" thickBot="1" x14ac:dyDescent="0.25">
      <c r="A2" s="121"/>
      <c r="B2" s="697"/>
      <c r="C2" s="697"/>
      <c r="D2" s="697"/>
      <c r="E2" s="697"/>
      <c r="F2" s="697"/>
      <c r="G2" s="697"/>
      <c r="H2" s="697"/>
      <c r="I2" s="697"/>
      <c r="J2" s="697"/>
      <c r="K2" s="697"/>
    </row>
    <row r="3" spans="1:11" ht="13.5" customHeight="1" thickBot="1" x14ac:dyDescent="0.25">
      <c r="A3" s="121"/>
      <c r="D3" s="698" t="s">
        <v>626</v>
      </c>
      <c r="E3" s="699"/>
      <c r="F3" s="699"/>
      <c r="G3" s="700"/>
      <c r="H3" s="704" t="s">
        <v>628</v>
      </c>
      <c r="I3" s="705"/>
      <c r="J3" s="705"/>
      <c r="K3" s="706"/>
    </row>
    <row r="4" spans="1:11" ht="21" customHeight="1" x14ac:dyDescent="0.2">
      <c r="A4" s="121"/>
      <c r="B4" s="710" t="s">
        <v>405</v>
      </c>
      <c r="C4" s="711"/>
      <c r="D4" s="701"/>
      <c r="E4" s="702"/>
      <c r="F4" s="702"/>
      <c r="G4" s="703"/>
      <c r="H4" s="707"/>
      <c r="I4" s="708"/>
      <c r="J4" s="708"/>
      <c r="K4" s="709"/>
    </row>
    <row r="5" spans="1:11" ht="24.75" thickBot="1" x14ac:dyDescent="0.25">
      <c r="A5" s="121"/>
      <c r="B5" s="712"/>
      <c r="C5" s="713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38125615</v>
      </c>
      <c r="E6" s="564">
        <f t="shared" si="0"/>
        <v>27706421</v>
      </c>
      <c r="F6" s="564">
        <f t="shared" si="0"/>
        <v>4847355</v>
      </c>
      <c r="G6" s="408">
        <f t="shared" si="0"/>
        <v>5571839</v>
      </c>
      <c r="H6" s="623">
        <f t="shared" si="0"/>
        <v>29082727.079999998</v>
      </c>
      <c r="I6" s="624">
        <f t="shared" si="0"/>
        <v>22016238.439999998</v>
      </c>
      <c r="J6" s="624">
        <f t="shared" si="0"/>
        <v>2005894.4</v>
      </c>
      <c r="K6" s="625">
        <f t="shared" si="0"/>
        <v>5060594.2399999993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571230</v>
      </c>
      <c r="E8" s="264">
        <f t="shared" si="1"/>
        <v>423550</v>
      </c>
      <c r="F8" s="264">
        <f t="shared" si="1"/>
        <v>147680</v>
      </c>
      <c r="G8" s="348">
        <f t="shared" si="1"/>
        <v>0</v>
      </c>
      <c r="H8" s="629">
        <f t="shared" si="1"/>
        <v>347033.06</v>
      </c>
      <c r="I8" s="630">
        <f t="shared" si="1"/>
        <v>339135.62</v>
      </c>
      <c r="J8" s="630">
        <f t="shared" si="1"/>
        <v>7897.44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49">
        <f t="shared" si="2"/>
        <v>0</v>
      </c>
      <c r="H9" s="632">
        <f>SUM(H10:H13)</f>
        <v>239212.66</v>
      </c>
      <c r="I9" s="633">
        <f t="shared" ref="I9:K9" si="3">SUM(I10:I13)</f>
        <v>239212.66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98065.250000000015</v>
      </c>
      <c r="I10" s="633">
        <f>'[1]1.Plánovanie, manažment a kontr'!$AF$5</f>
        <v>98065.250000000015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41508.81</v>
      </c>
      <c r="I11" s="633">
        <f>'[1]1.Plánovanie, manažment a kontr'!$AF$17</f>
        <v>41508.81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99638.6</v>
      </c>
      <c r="I12" s="633">
        <f>'[1]1.Plánovanie, manažment a kontr'!$AF$28</f>
        <v>99638.6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173280</v>
      </c>
      <c r="E14" s="257">
        <f t="shared" ref="E14:G14" si="4">SUM(E15:E17)</f>
        <v>25600</v>
      </c>
      <c r="F14" s="257">
        <f t="shared" si="4"/>
        <v>147680</v>
      </c>
      <c r="G14" s="349">
        <f t="shared" si="4"/>
        <v>0</v>
      </c>
      <c r="H14" s="632">
        <f>SUM(H15:H17)</f>
        <v>24628.010000000002</v>
      </c>
      <c r="I14" s="633">
        <f t="shared" ref="I14:K14" si="5">SUM(I15:I17)</f>
        <v>16730.57</v>
      </c>
      <c r="J14" s="633">
        <f t="shared" si="5"/>
        <v>7897.44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20400</v>
      </c>
      <c r="E15" s="257">
        <f>'[1]1.Plánovanie, manažment a kontr'!$AC$41</f>
        <v>20400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15312.99</v>
      </c>
      <c r="I15" s="633">
        <f>'[1]1.Plánovanie, manažment a kontr'!$AF$41</f>
        <v>15312.99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151880</v>
      </c>
      <c r="E17" s="257">
        <f>'[1]1.Plánovanie, manažment a kontr'!$AC$62</f>
        <v>4200</v>
      </c>
      <c r="F17" s="257">
        <f>'[1]1.Plánovanie, manažment a kontr'!$AD$62</f>
        <v>147680</v>
      </c>
      <c r="G17" s="349">
        <f>'[1]1.Plánovanie, manažment a kontr'!$AE$62</f>
        <v>0</v>
      </c>
      <c r="H17" s="632">
        <f t="shared" si="7"/>
        <v>9315.02</v>
      </c>
      <c r="I17" s="633">
        <f>'[1]1.Plánovanie, manažment a kontr'!$AF$62</f>
        <v>1417.58</v>
      </c>
      <c r="J17" s="633">
        <f>'[1]1.Plánovanie, manažment a kontr'!$AG$62</f>
        <v>7897.44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67083.009999999995</v>
      </c>
      <c r="I18" s="633">
        <f>'[1]1.Plánovanie, manažment a kontr'!$AF$79</f>
        <v>67083.009999999995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4992</v>
      </c>
      <c r="I19" s="633">
        <f>'[1]1.Plánovanie, manažment a kontr'!$AF$88</f>
        <v>4992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11117.380000000001</v>
      </c>
      <c r="I20" s="633">
        <f>'[1]1.Plánovanie, manažment a kontr'!$AF$92</f>
        <v>11117.380000000001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44600</v>
      </c>
      <c r="E22" s="264">
        <f t="shared" si="8"/>
        <v>44600</v>
      </c>
      <c r="F22" s="264">
        <f t="shared" si="8"/>
        <v>0</v>
      </c>
      <c r="G22" s="348">
        <f t="shared" si="8"/>
        <v>0</v>
      </c>
      <c r="H22" s="629">
        <f t="shared" si="8"/>
        <v>26710.99</v>
      </c>
      <c r="I22" s="630">
        <f t="shared" si="8"/>
        <v>26710.99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20400</v>
      </c>
      <c r="E23" s="257">
        <f t="shared" si="9"/>
        <v>20400</v>
      </c>
      <c r="F23" s="257">
        <f t="shared" si="9"/>
        <v>0</v>
      </c>
      <c r="G23" s="349">
        <f t="shared" si="9"/>
        <v>0</v>
      </c>
      <c r="H23" s="632">
        <f t="shared" si="9"/>
        <v>12176.89</v>
      </c>
      <c r="I23" s="633">
        <f t="shared" si="9"/>
        <v>12176.89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16.2</v>
      </c>
      <c r="I24" s="633">
        <f>'[1]2. Propagácia a marketing'!$AF$5</f>
        <v>16.2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895.15</v>
      </c>
      <c r="I25" s="633">
        <f>'[1]2. Propagácia a marketing'!$AF$7</f>
        <v>895.15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8550</v>
      </c>
      <c r="E26" s="257">
        <f>'[1]2. Propagácia a marketing'!$AC$12</f>
        <v>8550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6840.54</v>
      </c>
      <c r="I26" s="633">
        <f>'[1]2. Propagácia a marketing'!$AF$12</f>
        <v>6840.54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425</v>
      </c>
      <c r="I30" s="633">
        <f>'[1]2. Propagácia a marketing'!$AF$27</f>
        <v>425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4000</v>
      </c>
      <c r="I31" s="633">
        <f>'[1]2. Propagácia a marketing'!$AF$29</f>
        <v>4000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16500</v>
      </c>
      <c r="E32" s="257">
        <f t="shared" si="12"/>
        <v>16500</v>
      </c>
      <c r="F32" s="257">
        <f t="shared" si="12"/>
        <v>0</v>
      </c>
      <c r="G32" s="349">
        <f t="shared" si="12"/>
        <v>0</v>
      </c>
      <c r="H32" s="632">
        <f t="shared" si="12"/>
        <v>10454.760000000002</v>
      </c>
      <c r="I32" s="633">
        <f t="shared" si="12"/>
        <v>10454.760000000002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15000</v>
      </c>
      <c r="E33" s="257">
        <f>'[1]2. Propagácia a marketing'!$AC$32</f>
        <v>15000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10454.760000000002</v>
      </c>
      <c r="I33" s="633">
        <f>'[1]2. Propagácia a marketing'!$AF$32</f>
        <v>10454.760000000002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marketing'!$AC$51</f>
        <v>7700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4079.34</v>
      </c>
      <c r="I35" s="636">
        <f>'[1]2. Propagácia a marketing'!$AF$51</f>
        <v>4079.34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476026</v>
      </c>
      <c r="E36" s="264">
        <f t="shared" si="13"/>
        <v>465866</v>
      </c>
      <c r="F36" s="264">
        <f t="shared" si="13"/>
        <v>10160</v>
      </c>
      <c r="G36" s="348">
        <f t="shared" si="13"/>
        <v>0</v>
      </c>
      <c r="H36" s="629">
        <f t="shared" si="13"/>
        <v>337815.45000000007</v>
      </c>
      <c r="I36" s="630">
        <f t="shared" si="13"/>
        <v>337815.45000000007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65397.770000000004</v>
      </c>
      <c r="I37" s="633">
        <f>'[1]3.Interné služby'!$AF$4</f>
        <v>65397.770000000004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116076</v>
      </c>
      <c r="E38" s="257">
        <f>'[1]3.Interné služby'!$AC$23</f>
        <v>116076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114266.5</v>
      </c>
      <c r="I38" s="633">
        <f>'[1]3.Interné služby'!$AF$23</f>
        <v>114266.5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268400</v>
      </c>
      <c r="E39" s="257">
        <f t="shared" si="14"/>
        <v>258240</v>
      </c>
      <c r="F39" s="257">
        <f t="shared" si="14"/>
        <v>10160</v>
      </c>
      <c r="G39" s="349">
        <f t="shared" si="14"/>
        <v>0</v>
      </c>
      <c r="H39" s="632">
        <f t="shared" si="14"/>
        <v>154026.43000000002</v>
      </c>
      <c r="I39" s="633">
        <f t="shared" si="14"/>
        <v>154026.43000000002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2500</v>
      </c>
      <c r="E40" s="257">
        <f>'[1]3.Interné služby'!$AC$29</f>
        <v>2500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2459.1000000000004</v>
      </c>
      <c r="I40" s="633">
        <f>'[1]3.Interné služby'!$AF$29</f>
        <v>2459.1000000000004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15870</v>
      </c>
      <c r="E41" s="257">
        <f>'[1]3.Interné služby'!$AC$34</f>
        <v>15870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13962.560000000001</v>
      </c>
      <c r="I41" s="633">
        <f>'[1]3.Interné služby'!$AF$34</f>
        <v>13962.560000000001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237872</v>
      </c>
      <c r="E42" s="257">
        <f>'[1]3.Interné služby'!$AC$37</f>
        <v>237870</v>
      </c>
      <c r="F42" s="257">
        <f>'[1]3.Interné služby'!$AD$37</f>
        <v>2</v>
      </c>
      <c r="G42" s="349">
        <f>'[1]3.Interné služby'!$AE$37</f>
        <v>0</v>
      </c>
      <c r="H42" s="632">
        <f t="shared" si="16"/>
        <v>136203.77000000002</v>
      </c>
      <c r="I42" s="633">
        <f>'[1]3.Interné služby'!$AF$37</f>
        <v>136203.77000000002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12158</v>
      </c>
      <c r="E43" s="257">
        <f>'[1]3.Interné služby'!$AC$95</f>
        <v>2000</v>
      </c>
      <c r="F43" s="257">
        <f>'[1]3.Interné služby'!$AD$95</f>
        <v>10158</v>
      </c>
      <c r="G43" s="349">
        <f>'[1]3.Interné služby'!$AE$95</f>
        <v>0</v>
      </c>
      <c r="H43" s="632">
        <f t="shared" si="16"/>
        <v>1401</v>
      </c>
      <c r="I43" s="633">
        <f>'[1]3.Interné služby'!$AF$95</f>
        <v>1401</v>
      </c>
      <c r="J43" s="633">
        <f>'[1]3.Interné služby'!$AG$95</f>
        <v>0</v>
      </c>
      <c r="K43" s="634">
        <f>'[1]3.Interné služby'!$AH$95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služby'!$AC$100</f>
        <v>8000</v>
      </c>
      <c r="F44" s="257">
        <f>'[1]3.Interné služby'!$AD$100</f>
        <v>0</v>
      </c>
      <c r="G44" s="349">
        <f>'[1]3.Interné služby'!$AE$100</f>
        <v>0</v>
      </c>
      <c r="H44" s="632">
        <f t="shared" si="16"/>
        <v>4124.75</v>
      </c>
      <c r="I44" s="633">
        <f>'[1]3.Interné služby'!$AF$100</f>
        <v>4124.75</v>
      </c>
      <c r="J44" s="633">
        <f>'[1]3.Interné služby'!$AG$100</f>
        <v>0</v>
      </c>
      <c r="K44" s="634">
        <f>'[1]3.Interné služby'!$AH$100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služby'!$AC$106</f>
        <v>550</v>
      </c>
      <c r="F45" s="266">
        <f>'[1]3.Interné služby'!$AD$106</f>
        <v>0</v>
      </c>
      <c r="G45" s="570">
        <f>'[1]3.Interné služby'!$AE$106</f>
        <v>0</v>
      </c>
      <c r="H45" s="635">
        <f t="shared" si="16"/>
        <v>0</v>
      </c>
      <c r="I45" s="636">
        <f>'[1]3.Interné služby'!$AF$106</f>
        <v>0</v>
      </c>
      <c r="J45" s="636">
        <f>'[1]3.Interné služby'!$AG$106</f>
        <v>0</v>
      </c>
      <c r="K45" s="637">
        <f>'[1]3.Interné služby'!$AH$106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62750</v>
      </c>
      <c r="E46" s="264">
        <f t="shared" si="17"/>
        <v>62750</v>
      </c>
      <c r="F46" s="264">
        <f>F47+F48+F51</f>
        <v>0</v>
      </c>
      <c r="G46" s="348">
        <f t="shared" si="17"/>
        <v>0</v>
      </c>
      <c r="H46" s="629">
        <f t="shared" si="17"/>
        <v>46604.800000000003</v>
      </c>
      <c r="I46" s="630">
        <f t="shared" si="17"/>
        <v>46604.800000000003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20537.3</v>
      </c>
      <c r="I47" s="633">
        <f>'[1]4.Služby občanov'!$AF$4</f>
        <v>20537.3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33900</v>
      </c>
      <c r="E48" s="257">
        <f t="shared" si="18"/>
        <v>33900</v>
      </c>
      <c r="F48" s="257">
        <f t="shared" si="18"/>
        <v>0</v>
      </c>
      <c r="G48" s="349">
        <f t="shared" si="18"/>
        <v>0</v>
      </c>
      <c r="H48" s="632">
        <f t="shared" si="18"/>
        <v>26067.500000000004</v>
      </c>
      <c r="I48" s="633">
        <f t="shared" si="18"/>
        <v>26067.500000000004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33900</v>
      </c>
      <c r="E49" s="257">
        <f>'[1]4.Služby občanov'!$AC$17</f>
        <v>33900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26067.500000000004</v>
      </c>
      <c r="I49" s="633">
        <f>'[1]4.Služby občanov'!$AF$17</f>
        <v>26067.500000000004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1405600</v>
      </c>
      <c r="E52" s="264">
        <f t="shared" si="19"/>
        <v>1290600</v>
      </c>
      <c r="F52" s="264">
        <f t="shared" si="19"/>
        <v>115000</v>
      </c>
      <c r="G52" s="348">
        <f t="shared" si="19"/>
        <v>0</v>
      </c>
      <c r="H52" s="629">
        <f t="shared" si="19"/>
        <v>1149046.4899999998</v>
      </c>
      <c r="I52" s="630">
        <f t="shared" si="19"/>
        <v>1034046.4899999999</v>
      </c>
      <c r="J52" s="630">
        <f t="shared" si="19"/>
        <v>115000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824697.74999999988</v>
      </c>
      <c r="I53" s="633">
        <f t="shared" si="20"/>
        <v>824697.74999999988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671750</v>
      </c>
      <c r="E54" s="257">
        <f>'[1]5.Bezpečnosť, právo a por.'!$AC$5</f>
        <v>671750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553855.6399999999</v>
      </c>
      <c r="I54" s="633">
        <f>'[1]5.Bezpečnosť, právo a por.'!$AF$5</f>
        <v>553855.6399999999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148421.18</v>
      </c>
      <c r="I55" s="633">
        <f>'[1]5.Bezpečnosť, právo a por.'!$AF$60</f>
        <v>148421.18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61267.25</v>
      </c>
      <c r="I56" s="633">
        <f>'[1]5.Bezpečnosť, právo a por.'!$AF$83</f>
        <v>61267.25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83250</v>
      </c>
      <c r="E57" s="257">
        <f>'[1]5.Bezpečnosť, právo a por.'!$AC$86</f>
        <v>83250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61153.680000000008</v>
      </c>
      <c r="I57" s="633">
        <f>'[1]5.Bezpečnosť, právo a por.'!$AF$86</f>
        <v>61153.680000000008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4013.1800000000003</v>
      </c>
      <c r="I59" s="633">
        <f>'[1]5.Bezpečnosť, právo a por.'!$AF$96</f>
        <v>4013.1800000000003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364150</v>
      </c>
      <c r="E60" s="257">
        <f t="shared" si="23"/>
        <v>249150</v>
      </c>
      <c r="F60" s="257">
        <f t="shared" si="23"/>
        <v>115000</v>
      </c>
      <c r="G60" s="349">
        <f t="shared" si="23"/>
        <v>0</v>
      </c>
      <c r="H60" s="632">
        <f t="shared" si="23"/>
        <v>315332.56</v>
      </c>
      <c r="I60" s="633">
        <f t="shared" si="23"/>
        <v>200332.56</v>
      </c>
      <c r="J60" s="633">
        <f t="shared" si="23"/>
        <v>115000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115000</v>
      </c>
      <c r="I61" s="633">
        <f>'[1]5.Bezpečnosť, právo a por.'!$AF$114</f>
        <v>0</v>
      </c>
      <c r="J61" s="633">
        <f>'[1]5.Bezpečnosť, právo a por.'!$AG$114</f>
        <v>115000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120150</v>
      </c>
      <c r="E62" s="257">
        <f>'[1]5.Bezpečnosť, právo a por.'!$AC$121</f>
        <v>120150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111681.44</v>
      </c>
      <c r="I62" s="633">
        <f>'[1]5.Bezpečnosť, právo a por.'!$AF$121</f>
        <v>111681.44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129000</v>
      </c>
      <c r="E63" s="257">
        <f>'[1]5.Bezpečnosť, právo a por.'!$AC$124</f>
        <v>129000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88651.12</v>
      </c>
      <c r="I63" s="633">
        <f>'[1]5.Bezpečnosť, právo a por.'!$AF$124</f>
        <v>88651.12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5003</v>
      </c>
      <c r="I65" s="633">
        <f t="shared" si="24"/>
        <v>5003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5003</v>
      </c>
      <c r="I66" s="633">
        <f>'[1]5.Bezpečnosť, právo a por.'!$AF$131</f>
        <v>5003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1232796</v>
      </c>
      <c r="E68" s="264">
        <f t="shared" si="25"/>
        <v>1232796</v>
      </c>
      <c r="F68" s="264">
        <f t="shared" si="25"/>
        <v>0</v>
      </c>
      <c r="G68" s="348">
        <f t="shared" si="25"/>
        <v>0</v>
      </c>
      <c r="H68" s="629">
        <f t="shared" si="25"/>
        <v>805788.15</v>
      </c>
      <c r="I68" s="630">
        <f t="shared" si="25"/>
        <v>805788.15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1040796</v>
      </c>
      <c r="E69" s="257">
        <f t="shared" si="26"/>
        <v>1040796</v>
      </c>
      <c r="F69" s="257">
        <f t="shared" si="26"/>
        <v>0</v>
      </c>
      <c r="G69" s="349">
        <f t="shared" si="26"/>
        <v>0</v>
      </c>
      <c r="H69" s="632">
        <f t="shared" si="26"/>
        <v>662853.28</v>
      </c>
      <c r="I69" s="633">
        <f t="shared" si="26"/>
        <v>662853.28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8000</v>
      </c>
      <c r="E70" s="257">
        <f>'[1]6.Odpadové hospodárstvo'!$AC$5</f>
        <v>8000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1032796</v>
      </c>
      <c r="E71" s="257">
        <f>'[1]6.Odpadové hospodárstvo'!$AC$10</f>
        <v>1032796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660255.97</v>
      </c>
      <c r="I71" s="633">
        <f>'[1]6.Odpadové hospodárstvo'!$AF$10</f>
        <v>660255.97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142934.87</v>
      </c>
      <c r="I75" s="636">
        <f>'[1]6.Odpadové hospodárstvo'!$AF$31</f>
        <v>142934.87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3288905</v>
      </c>
      <c r="E76" s="264">
        <f t="shared" si="28"/>
        <v>499905</v>
      </c>
      <c r="F76" s="264">
        <f t="shared" si="28"/>
        <v>2789000</v>
      </c>
      <c r="G76" s="348">
        <f t="shared" si="28"/>
        <v>0</v>
      </c>
      <c r="H76" s="629">
        <f t="shared" si="28"/>
        <v>660982.46</v>
      </c>
      <c r="I76" s="630">
        <f t="shared" si="28"/>
        <v>464054.96</v>
      </c>
      <c r="J76" s="630">
        <f t="shared" si="28"/>
        <v>196927.5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684450</v>
      </c>
      <c r="E77" s="257">
        <f t="shared" si="29"/>
        <v>457450</v>
      </c>
      <c r="F77" s="257">
        <f t="shared" si="29"/>
        <v>227000</v>
      </c>
      <c r="G77" s="349">
        <f t="shared" si="29"/>
        <v>0</v>
      </c>
      <c r="H77" s="632">
        <f t="shared" si="29"/>
        <v>612019.19999999995</v>
      </c>
      <c r="I77" s="633">
        <f t="shared" si="29"/>
        <v>422935.9</v>
      </c>
      <c r="J77" s="633">
        <f t="shared" si="29"/>
        <v>189083.3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189083.3</v>
      </c>
      <c r="I79" s="633">
        <f>'[1]7.Komunikácie'!$AF$7</f>
        <v>0</v>
      </c>
      <c r="J79" s="633">
        <f>'[1]7.Komunikácie'!$AG$7</f>
        <v>189083.3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80850</v>
      </c>
      <c r="E80" s="257">
        <f>'[1]7.Komunikácie'!$AC$15</f>
        <v>80850</v>
      </c>
      <c r="F80" s="257">
        <f>'[1]7.Komunikácie'!$AD$15</f>
        <v>0</v>
      </c>
      <c r="G80" s="349">
        <f>'[1]7.Komunikácie'!$AE$15</f>
        <v>0</v>
      </c>
      <c r="H80" s="632">
        <f t="shared" si="31"/>
        <v>80844.92</v>
      </c>
      <c r="I80" s="633">
        <f>'[1]7.Komunikácie'!$AF$15</f>
        <v>80844.92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270900</v>
      </c>
      <c r="E81" s="257">
        <f>'[1]7.Komunikácie'!$AC$17</f>
        <v>270900</v>
      </c>
      <c r="F81" s="257">
        <f>'[1]7.Komunikácie'!$AD$17</f>
        <v>0</v>
      </c>
      <c r="G81" s="349">
        <f>'[1]7.Komunikácie'!$AE$17</f>
        <v>0</v>
      </c>
      <c r="H81" s="632">
        <f t="shared" si="31"/>
        <v>270723.56</v>
      </c>
      <c r="I81" s="633">
        <f>'[1]7.Komunikácie'!$AF$17</f>
        <v>270723.56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56295.19</v>
      </c>
      <c r="I82" s="633">
        <f>'[1]7.Komunikácie'!$AF$19</f>
        <v>56295.19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12500</v>
      </c>
      <c r="E83" s="257">
        <f>'[1]7.Komunikácie'!$AC$26</f>
        <v>12500</v>
      </c>
      <c r="F83" s="257">
        <f>'[1]7.Komunikácie'!$AD$26</f>
        <v>0</v>
      </c>
      <c r="G83" s="349">
        <f>'[1]7.Komunikácie'!$AE$26</f>
        <v>0</v>
      </c>
      <c r="H83" s="632">
        <f t="shared" si="31"/>
        <v>12474.08</v>
      </c>
      <c r="I83" s="633">
        <f>'[1]7.Komunikácie'!$AF$26</f>
        <v>12474.08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2600</v>
      </c>
      <c r="E84" s="257">
        <f>'[1]7.Komunikácie'!$AC$28</f>
        <v>2600</v>
      </c>
      <c r="F84" s="257">
        <f>'[1]7.Komunikácie'!$AD$28</f>
        <v>0</v>
      </c>
      <c r="G84" s="349">
        <f>'[1]7.Komunikácie'!$AE$28</f>
        <v>0</v>
      </c>
      <c r="H84" s="632">
        <f t="shared" si="31"/>
        <v>2598.15</v>
      </c>
      <c r="I84" s="633">
        <f>'[1]7.Komunikácie'!$AF$28</f>
        <v>2598.15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2579455</v>
      </c>
      <c r="E85" s="257">
        <f t="shared" si="32"/>
        <v>37455</v>
      </c>
      <c r="F85" s="257">
        <f t="shared" si="32"/>
        <v>2542000</v>
      </c>
      <c r="G85" s="349">
        <f t="shared" si="32"/>
        <v>0</v>
      </c>
      <c r="H85" s="632">
        <f t="shared" si="32"/>
        <v>36119.06</v>
      </c>
      <c r="I85" s="633">
        <f t="shared" si="32"/>
        <v>36119.06</v>
      </c>
      <c r="J85" s="633">
        <f t="shared" si="32"/>
        <v>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2579455</v>
      </c>
      <c r="E87" s="257">
        <f>'[1]7.Komunikácie'!$AC$33</f>
        <v>37455</v>
      </c>
      <c r="F87" s="257">
        <f>'[1]7.Komunikácie'!$AD$33</f>
        <v>2542000</v>
      </c>
      <c r="G87" s="349">
        <f>'[1]7.Komunikácie'!$AE$33</f>
        <v>0</v>
      </c>
      <c r="H87" s="632">
        <f>SUM(I87:K87)</f>
        <v>36119.06</v>
      </c>
      <c r="I87" s="633">
        <f>'[1]7.Komunikácie'!$AF$33</f>
        <v>36119.06</v>
      </c>
      <c r="J87" s="633">
        <f>'[1]7.Komunikácie'!$AG$33</f>
        <v>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25000</v>
      </c>
      <c r="E88" s="257">
        <f t="shared" si="33"/>
        <v>5000</v>
      </c>
      <c r="F88" s="257">
        <f t="shared" si="33"/>
        <v>20000</v>
      </c>
      <c r="G88" s="349">
        <f t="shared" si="33"/>
        <v>0</v>
      </c>
      <c r="H88" s="632">
        <f t="shared" si="33"/>
        <v>12844.2</v>
      </c>
      <c r="I88" s="633">
        <f t="shared" si="33"/>
        <v>5000</v>
      </c>
      <c r="J88" s="633">
        <f t="shared" si="33"/>
        <v>7844.2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25000</v>
      </c>
      <c r="E89" s="257">
        <f>'[1]7.Komunikácie'!$AC$36</f>
        <v>5000</v>
      </c>
      <c r="F89" s="257">
        <f>'[1]7.Komunikácie'!$AD$36</f>
        <v>20000</v>
      </c>
      <c r="G89" s="349">
        <f>'[1]7.Komunikácie'!$AE$36</f>
        <v>0</v>
      </c>
      <c r="H89" s="632">
        <f>SUM(I89:K89)</f>
        <v>12844.2</v>
      </c>
      <c r="I89" s="633">
        <f>'[1]7.Komunikácie'!$AF$36</f>
        <v>5000</v>
      </c>
      <c r="J89" s="633">
        <f>'[1]7.Komunikácie'!$AG$36</f>
        <v>7844.2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99800</v>
      </c>
      <c r="I91" s="630">
        <f t="shared" si="34"/>
        <v>99800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99100</v>
      </c>
      <c r="I92" s="633">
        <f>'[1]8.Doprava'!$AF$4</f>
        <v>99100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700</v>
      </c>
      <c r="I93" s="633">
        <f t="shared" si="35"/>
        <v>700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700</v>
      </c>
      <c r="I94" s="636">
        <f>'[1]8.Doprava'!$AF$7</f>
        <v>700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15424124</v>
      </c>
      <c r="E95" s="264">
        <f t="shared" si="36"/>
        <v>14952431</v>
      </c>
      <c r="F95" s="264">
        <f t="shared" si="36"/>
        <v>471693</v>
      </c>
      <c r="G95" s="348">
        <f t="shared" si="36"/>
        <v>0</v>
      </c>
      <c r="H95" s="629">
        <f t="shared" si="36"/>
        <v>12436843.670000002</v>
      </c>
      <c r="I95" s="630">
        <f t="shared" si="36"/>
        <v>11970661.160000002</v>
      </c>
      <c r="J95" s="630">
        <f t="shared" si="36"/>
        <v>466182.51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5031.84</v>
      </c>
      <c r="I96" s="633">
        <f>'[1]9. Vzdelávanie'!$AF$4</f>
        <v>5031.84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2620549</v>
      </c>
      <c r="E97" s="257">
        <f t="shared" si="37"/>
        <v>2341751</v>
      </c>
      <c r="F97" s="257">
        <f t="shared" si="37"/>
        <v>278798</v>
      </c>
      <c r="G97" s="349">
        <f t="shared" si="37"/>
        <v>0</v>
      </c>
      <c r="H97" s="632">
        <f t="shared" si="37"/>
        <v>2287078.84</v>
      </c>
      <c r="I97" s="633">
        <f t="shared" si="37"/>
        <v>2009178.8</v>
      </c>
      <c r="J97" s="633">
        <f t="shared" si="37"/>
        <v>277900.03999999998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502270</v>
      </c>
      <c r="E98" s="257">
        <f>'[1]9. Vzdelávanie'!$AC$20</f>
        <v>263170</v>
      </c>
      <c r="F98" s="257">
        <f>'[1]9. Vzdelávanie'!$AD$20</f>
        <v>239100</v>
      </c>
      <c r="G98" s="349">
        <f>'[1]9. Vzdelávanie'!$AE$20</f>
        <v>0</v>
      </c>
      <c r="H98" s="632">
        <f>SUM(I98:K98)</f>
        <v>461029.3</v>
      </c>
      <c r="I98" s="633">
        <f>'[1]9. Vzdelávanie'!$AF$20</f>
        <v>222826</v>
      </c>
      <c r="J98" s="633">
        <f>'[1]9. Vzdelávanie'!$AG$20</f>
        <v>238203.3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431342</v>
      </c>
      <c r="E99" s="257">
        <f>'[1]9. Vzdelávanie'!$AC$21</f>
        <v>405950</v>
      </c>
      <c r="F99" s="257">
        <f>'[1]9. Vzdelávanie'!$AD$21</f>
        <v>25392</v>
      </c>
      <c r="G99" s="349">
        <f>'[1]9. Vzdelávanie'!$AE$21</f>
        <v>0</v>
      </c>
      <c r="H99" s="632">
        <f t="shared" ref="H99:H105" si="39">SUM(I99:K99)</f>
        <v>369158.54</v>
      </c>
      <c r="I99" s="633">
        <f>'[1]9. Vzdelávanie'!$AF$21</f>
        <v>343767</v>
      </c>
      <c r="J99" s="633">
        <f>'[1]9. Vzdelávanie'!$AG$21</f>
        <v>25391.54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610925</v>
      </c>
      <c r="E100" s="257">
        <f>'[1]9. Vzdelávanie'!$AC$22</f>
        <v>599619</v>
      </c>
      <c r="F100" s="257">
        <f>'[1]9. Vzdelávanie'!$AD$22</f>
        <v>11306</v>
      </c>
      <c r="G100" s="349">
        <f>'[1]9. Vzdelávanie'!$AE$22</f>
        <v>0</v>
      </c>
      <c r="H100" s="632">
        <f t="shared" si="39"/>
        <v>563760</v>
      </c>
      <c r="I100" s="633">
        <f>'[1]9. Vzdelávanie'!$AF$22</f>
        <v>552454.80000000005</v>
      </c>
      <c r="J100" s="633">
        <f>'[1]9. Vzdelávanie'!$AG$22</f>
        <v>11305.2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255342</v>
      </c>
      <c r="I102" s="633">
        <f>'[1]9. Vzdelávanie'!$AF$24</f>
        <v>255342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333150</v>
      </c>
      <c r="E103" s="257">
        <f>'[1]9. Vzdelávanie'!$AC$25</f>
        <v>330150</v>
      </c>
      <c r="F103" s="257">
        <f>'[1]9. Vzdelávanie'!$AD$25</f>
        <v>3000</v>
      </c>
      <c r="G103" s="349">
        <f>'[1]9. Vzdelávanie'!$AE$25</f>
        <v>0</v>
      </c>
      <c r="H103" s="632">
        <f t="shared" si="39"/>
        <v>288614</v>
      </c>
      <c r="I103" s="633">
        <f>'[1]9. Vzdelávanie'!$AF$25</f>
        <v>285614</v>
      </c>
      <c r="J103" s="633">
        <f>'[1]9. Vzdelávanie'!$AG$25</f>
        <v>3000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275760</v>
      </c>
      <c r="I104" s="633">
        <f>'[1]9. Vzdelávanie'!$AF$26</f>
        <v>275760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89572</v>
      </c>
      <c r="E105" s="257">
        <f>'[1]9. Vzdelávanie'!$AC$27</f>
        <v>89572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73415</v>
      </c>
      <c r="I105" s="633">
        <f>'[1]9. Vzdelávanie'!$AF$27</f>
        <v>73415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7620940</v>
      </c>
      <c r="E106" s="257">
        <f t="shared" si="40"/>
        <v>7459958</v>
      </c>
      <c r="F106" s="257">
        <f t="shared" si="40"/>
        <v>160982</v>
      </c>
      <c r="G106" s="349">
        <f t="shared" si="40"/>
        <v>0</v>
      </c>
      <c r="H106" s="632">
        <f t="shared" si="40"/>
        <v>6425830</v>
      </c>
      <c r="I106" s="633">
        <f t="shared" si="40"/>
        <v>6264848.4900000002</v>
      </c>
      <c r="J106" s="633">
        <f t="shared" si="40"/>
        <v>160981.51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842220</v>
      </c>
      <c r="E107" s="257">
        <f>'[1]9. Vzdelávanie'!$AC$29</f>
        <v>762220</v>
      </c>
      <c r="F107" s="257">
        <f>'[1]9. Vzdelávanie'!$AD$29</f>
        <v>80000</v>
      </c>
      <c r="G107" s="349">
        <f>'[1]9. Vzdelávanie'!$AE$29</f>
        <v>0</v>
      </c>
      <c r="H107" s="632">
        <f t="shared" ref="H107:H112" si="42">SUM(I107:K107)</f>
        <v>709896</v>
      </c>
      <c r="I107" s="633">
        <f>'[1]9. Vzdelávanie'!$AF$29</f>
        <v>629896</v>
      </c>
      <c r="J107" s="633">
        <f>'[1]9. Vzdelávanie'!$AG$29</f>
        <v>80000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943671</v>
      </c>
      <c r="I108" s="633">
        <f>'[1]9. Vzdelávanie'!$AF$32</f>
        <v>943671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1591120</v>
      </c>
      <c r="I109" s="633">
        <f>'[1]9. Vzdelávanie'!$AF$36</f>
        <v>1591120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1417500</v>
      </c>
      <c r="I110" s="633">
        <f>'[1]9. Vzdelávanie'!$AF$41</f>
        <v>1417500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1394440</v>
      </c>
      <c r="E111" s="257">
        <f>'[1]9. Vzdelávanie'!$AC$44</f>
        <v>1313458</v>
      </c>
      <c r="F111" s="257">
        <f>'[1]9. Vzdelávanie'!$AD$44</f>
        <v>80982</v>
      </c>
      <c r="G111" s="349">
        <f>'[1]9. Vzdelávanie'!$AE$44</f>
        <v>0</v>
      </c>
      <c r="H111" s="632">
        <f t="shared" si="42"/>
        <v>1145775</v>
      </c>
      <c r="I111" s="633">
        <f>'[1]9. Vzdelávanie'!$AF$44</f>
        <v>1064793.49</v>
      </c>
      <c r="J111" s="633">
        <f>'[1]9. Vzdelávanie'!$AG$44</f>
        <v>80981.509999999995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617868</v>
      </c>
      <c r="I112" s="633">
        <f>'[1]9. Vzdelávanie'!$AF$47</f>
        <v>617868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1089018</v>
      </c>
      <c r="E113" s="257">
        <f t="shared" si="43"/>
        <v>1089018</v>
      </c>
      <c r="F113" s="257">
        <f t="shared" si="43"/>
        <v>0</v>
      </c>
      <c r="G113" s="349">
        <f t="shared" si="43"/>
        <v>0</v>
      </c>
      <c r="H113" s="632">
        <f t="shared" si="43"/>
        <v>922977</v>
      </c>
      <c r="I113" s="633">
        <f t="shared" si="43"/>
        <v>922977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765648</v>
      </c>
      <c r="E114" s="257">
        <f>'[1]9. Vzdelávanie'!$AC$51</f>
        <v>765648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653500</v>
      </c>
      <c r="I114" s="633">
        <f>'[1]9. Vzdelávanie'!$AF$51</f>
        <v>653500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269477</v>
      </c>
      <c r="I115" s="633">
        <f>'[1]9. Vzdelávanie'!$AF$52</f>
        <v>269477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1076460</v>
      </c>
      <c r="E116" s="257">
        <f>'[1]9. Vzdelávanie'!$AC$53</f>
        <v>1076460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865748.72</v>
      </c>
      <c r="I116" s="633">
        <f>'[1]9. Vzdelávanie'!$AF$53</f>
        <v>865748.72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1214140</v>
      </c>
      <c r="E117" s="257">
        <f>'[1]9. Vzdelávanie'!$AC$77</f>
        <v>1186835</v>
      </c>
      <c r="F117" s="257">
        <f>'[1]9. Vzdelávanie'!$AD$77</f>
        <v>27305</v>
      </c>
      <c r="G117" s="349">
        <f>'[1]9. Vzdelávanie'!$AE$77</f>
        <v>0</v>
      </c>
      <c r="H117" s="632">
        <f t="shared" si="45"/>
        <v>847705.89999999991</v>
      </c>
      <c r="I117" s="633">
        <f>'[1]9. Vzdelávanie'!$AF$77</f>
        <v>820404.94</v>
      </c>
      <c r="J117" s="633">
        <f>'[1]9. Vzdelávanie'!$AG$77</f>
        <v>27300.960000000003</v>
      </c>
      <c r="K117" s="634">
        <f>'[1]9. Vzdelávanie'!$AH$77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259082</v>
      </c>
      <c r="E118" s="257">
        <f>'[1]9. Vzdelávanie'!$AC$78</f>
        <v>254474</v>
      </c>
      <c r="F118" s="257">
        <f>'[1]9. Vzdelávanie'!$AD$78</f>
        <v>4608</v>
      </c>
      <c r="G118" s="349">
        <f>'[1]9. Vzdelávanie'!$AE$78</f>
        <v>0</v>
      </c>
      <c r="H118" s="632">
        <f t="shared" si="45"/>
        <v>74647.3</v>
      </c>
      <c r="I118" s="633">
        <f>'[1]9. Vzdelávanie'!$AF$78</f>
        <v>74647.3</v>
      </c>
      <c r="J118" s="633">
        <f>'[1]9. Vzdelávanie'!$AG$78</f>
        <v>0</v>
      </c>
      <c r="K118" s="634">
        <f>'[1]9. Vzdelávanie'!$AH$78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1537935</v>
      </c>
      <c r="E119" s="266">
        <f>'[1]9. Vzdelávanie'!$AC$85</f>
        <v>1537935</v>
      </c>
      <c r="F119" s="266">
        <f>'[1]9. Vzdelávanie'!$AD$85</f>
        <v>0</v>
      </c>
      <c r="G119" s="570">
        <f>'[1]9. Vzdelávanie'!$AE$85</f>
        <v>0</v>
      </c>
      <c r="H119" s="635">
        <f t="shared" si="45"/>
        <v>1007824.0700000001</v>
      </c>
      <c r="I119" s="636">
        <f>'[1]9. Vzdelávanie'!$AF$85</f>
        <v>1007824.0700000001</v>
      </c>
      <c r="J119" s="636">
        <f>'[1]9. Vzdelávanie'!$AG$85</f>
        <v>0</v>
      </c>
      <c r="K119" s="637">
        <f>'[1]9. Vzdelávanie'!$AH$85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302575.43999999994</v>
      </c>
      <c r="I120" s="630">
        <f t="shared" si="46"/>
        <v>300575.43999999994</v>
      </c>
      <c r="J120" s="630">
        <f t="shared" si="46"/>
        <v>2000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2001.37</v>
      </c>
      <c r="I121" s="633">
        <f>'[1]10. Šport'!$AF$4</f>
        <v>2001.37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297574.06999999995</v>
      </c>
      <c r="I122" s="633">
        <f t="shared" si="47"/>
        <v>295574.06999999995</v>
      </c>
      <c r="J122" s="633">
        <f t="shared" si="47"/>
        <v>2000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35622.649999999994</v>
      </c>
      <c r="I123" s="633">
        <f>'[1]10. Šport'!$AF$12</f>
        <v>35622.649999999994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61193.88</v>
      </c>
      <c r="I124" s="633">
        <f>'[1]10. Šport'!$AF$32</f>
        <v>61193.88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Šport'!$AC$54</f>
        <v>34500</v>
      </c>
      <c r="F125" s="257">
        <f>'[1]10. Šport'!$AD$54</f>
        <v>0</v>
      </c>
      <c r="G125" s="349">
        <f>'[1]10. Šport'!$AE$54</f>
        <v>0</v>
      </c>
      <c r="H125" s="632">
        <f t="shared" si="49"/>
        <v>19453.18</v>
      </c>
      <c r="I125" s="633">
        <f>'[1]10. Šport'!$AF$54</f>
        <v>19453.18</v>
      </c>
      <c r="J125" s="633">
        <f>'[1]10. Šport'!$AG$54</f>
        <v>0</v>
      </c>
      <c r="K125" s="634">
        <f>'[1]10. Šport'!$AH$54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Šport'!$AC$66</f>
        <v>251200</v>
      </c>
      <c r="F126" s="257">
        <f>'[1]10. Šport'!$AD$66</f>
        <v>0</v>
      </c>
      <c r="G126" s="349">
        <f>'[1]10. Šport'!$AE$66</f>
        <v>0</v>
      </c>
      <c r="H126" s="632">
        <f t="shared" si="49"/>
        <v>152251.11999999997</v>
      </c>
      <c r="I126" s="633">
        <f>'[1]10. Šport'!$AF$66</f>
        <v>152251.11999999997</v>
      </c>
      <c r="J126" s="633">
        <f>'[1]10. Šport'!$AG$66</f>
        <v>0</v>
      </c>
      <c r="K126" s="634">
        <f>'[1]10. Šport'!$AH$66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Šport'!$AC$87</f>
        <v>13350</v>
      </c>
      <c r="F127" s="257">
        <f>'[1]10. Šport'!$AD$87</f>
        <v>0</v>
      </c>
      <c r="G127" s="349">
        <f>'[1]10. Šport'!$AE$87</f>
        <v>0</v>
      </c>
      <c r="H127" s="632">
        <f t="shared" si="49"/>
        <v>6389.67</v>
      </c>
      <c r="I127" s="633">
        <f>'[1]10. Šport'!$AF$87</f>
        <v>6389.67</v>
      </c>
      <c r="J127" s="633">
        <f>'[1]10. Šport'!$AG$87</f>
        <v>0</v>
      </c>
      <c r="K127" s="634">
        <f>'[1]10. Šport'!$AH$87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Šport'!$AC$95</f>
        <v>1000</v>
      </c>
      <c r="F128" s="257">
        <f>'[1]10. Šport'!$AD$95</f>
        <v>0</v>
      </c>
      <c r="G128" s="349">
        <f>'[1]10. Šport'!$AE$95</f>
        <v>0</v>
      </c>
      <c r="H128" s="632">
        <f t="shared" si="49"/>
        <v>2110</v>
      </c>
      <c r="I128" s="633">
        <f>'[1]10. Šport'!$AF$95</f>
        <v>110</v>
      </c>
      <c r="J128" s="633">
        <f>'[1]10. Šport'!$AG$95</f>
        <v>2000</v>
      </c>
      <c r="K128" s="634">
        <f>'[1]10. Šport'!$AH$95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Šport'!$AC$101</f>
        <v>22000</v>
      </c>
      <c r="F129" s="257">
        <f>'[1]10. Šport'!$AD$101</f>
        <v>0</v>
      </c>
      <c r="G129" s="349">
        <f>'[1]10. Šport'!$AE$101</f>
        <v>0</v>
      </c>
      <c r="H129" s="632">
        <f t="shared" si="49"/>
        <v>20553.57</v>
      </c>
      <c r="I129" s="633">
        <f>'[1]10. Šport'!$AF$101</f>
        <v>20553.57</v>
      </c>
      <c r="J129" s="633">
        <f>'[1]10. Šport'!$AG$101</f>
        <v>0</v>
      </c>
      <c r="K129" s="634">
        <f>'[1]10. Šport'!$AH$101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Šport'!$AC$109</f>
        <v>3000</v>
      </c>
      <c r="F130" s="266">
        <f>'[1]10. Šport'!$AD$109</f>
        <v>0</v>
      </c>
      <c r="G130" s="570">
        <f>'[1]10. Šport'!$AE$109</f>
        <v>0</v>
      </c>
      <c r="H130" s="635">
        <f t="shared" si="49"/>
        <v>3000</v>
      </c>
      <c r="I130" s="636">
        <f>'[1]10. Šport'!$AF$109</f>
        <v>3000</v>
      </c>
      <c r="J130" s="636">
        <f>'[1]10. Šport'!$AG$109</f>
        <v>0</v>
      </c>
      <c r="K130" s="637">
        <f>'[1]10. Šport'!$AH$109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1521210</v>
      </c>
      <c r="E131" s="264">
        <f t="shared" si="50"/>
        <v>1023120</v>
      </c>
      <c r="F131" s="264">
        <f t="shared" si="50"/>
        <v>498090</v>
      </c>
      <c r="G131" s="348">
        <f t="shared" si="50"/>
        <v>0</v>
      </c>
      <c r="H131" s="629">
        <f t="shared" si="50"/>
        <v>1327025.74</v>
      </c>
      <c r="I131" s="630">
        <f t="shared" si="50"/>
        <v>829351.41999999993</v>
      </c>
      <c r="J131" s="630">
        <f t="shared" si="50"/>
        <v>497674.32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18700</v>
      </c>
      <c r="E132" s="257">
        <f>'[1]11. Kultúra'!$AC$4</f>
        <v>18700</v>
      </c>
      <c r="F132" s="257">
        <f>'[1]11. Kultúra'!$AD$4</f>
        <v>0</v>
      </c>
      <c r="G132" s="349">
        <f>'[1]11. Kultúra'!$AE$4</f>
        <v>0</v>
      </c>
      <c r="H132" s="632">
        <f>SUM(I132:K132)</f>
        <v>11073.48</v>
      </c>
      <c r="I132" s="633">
        <f>'[1]11. Kultúra'!$AF$4</f>
        <v>11073.48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1497510</v>
      </c>
      <c r="E133" s="257">
        <f t="shared" si="51"/>
        <v>999420</v>
      </c>
      <c r="F133" s="257">
        <f t="shared" si="51"/>
        <v>498090</v>
      </c>
      <c r="G133" s="349">
        <f t="shared" si="51"/>
        <v>0</v>
      </c>
      <c r="H133" s="632">
        <f t="shared" si="51"/>
        <v>1312952.26</v>
      </c>
      <c r="I133" s="633">
        <f t="shared" si="51"/>
        <v>815277.94</v>
      </c>
      <c r="J133" s="633">
        <f t="shared" si="51"/>
        <v>497674.32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203000</v>
      </c>
      <c r="E134" s="257">
        <f>'[1]11. Kultúra'!$AC$20</f>
        <v>203000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164319.06</v>
      </c>
      <c r="I134" s="633">
        <f>'[1]11. Kultúra'!$AF$20</f>
        <v>164319.06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260</v>
      </c>
      <c r="I135" s="633">
        <f>'[1]11. Kultúra'!$AF$27</f>
        <v>260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1274990</v>
      </c>
      <c r="E136" s="257">
        <f>'[1]11. Kultúra'!$AC$37</f>
        <v>776900</v>
      </c>
      <c r="F136" s="257">
        <f>'[1]11. Kultúra'!$AD$37</f>
        <v>498090</v>
      </c>
      <c r="G136" s="349">
        <f>'[1]11. Kultúra'!$AE$37</f>
        <v>0</v>
      </c>
      <c r="H136" s="632">
        <f t="shared" si="53"/>
        <v>1143848.8899999999</v>
      </c>
      <c r="I136" s="633">
        <f>'[1]11. Kultúra'!$AF$37</f>
        <v>646174.56999999995</v>
      </c>
      <c r="J136" s="633">
        <f>'[1]11. Kultúra'!$AG$37</f>
        <v>497674.32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4524.3099999999995</v>
      </c>
      <c r="I137" s="633">
        <f>'[1]11. Kultúra'!$AF$126</f>
        <v>4524.3099999999995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3000</v>
      </c>
      <c r="I139" s="638">
        <f>'[1]11. Kultúra'!$AF$144</f>
        <v>3000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1212432</v>
      </c>
      <c r="E140" s="264">
        <f t="shared" si="54"/>
        <v>475432</v>
      </c>
      <c r="F140" s="264">
        <f t="shared" si="54"/>
        <v>737000</v>
      </c>
      <c r="G140" s="348">
        <f t="shared" si="54"/>
        <v>0</v>
      </c>
      <c r="H140" s="629">
        <f t="shared" si="54"/>
        <v>1010887.0000000001</v>
      </c>
      <c r="I140" s="630">
        <f t="shared" si="54"/>
        <v>316299.24</v>
      </c>
      <c r="J140" s="630">
        <f t="shared" si="54"/>
        <v>694587.76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1100404</v>
      </c>
      <c r="E141" s="257">
        <f t="shared" si="55"/>
        <v>373404</v>
      </c>
      <c r="F141" s="257">
        <f t="shared" si="55"/>
        <v>727000</v>
      </c>
      <c r="G141" s="349">
        <f t="shared" si="55"/>
        <v>0</v>
      </c>
      <c r="H141" s="632">
        <f t="shared" si="55"/>
        <v>926255.32000000007</v>
      </c>
      <c r="I141" s="633">
        <f t="shared" si="55"/>
        <v>241657.56</v>
      </c>
      <c r="J141" s="633">
        <f t="shared" si="55"/>
        <v>684597.76000000001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1092500</v>
      </c>
      <c r="E142" s="257">
        <f>'[1]12. Prostredie pre život'!$AC$5</f>
        <v>365500</v>
      </c>
      <c r="F142" s="257">
        <f>'[1]12. Prostredie pre život'!$AD$5</f>
        <v>727000</v>
      </c>
      <c r="G142" s="349">
        <f>'[1]12. Prostredie pre život'!$AE$5</f>
        <v>0</v>
      </c>
      <c r="H142" s="632">
        <f>SUM(I142:K142)</f>
        <v>920687.32000000007</v>
      </c>
      <c r="I142" s="633">
        <f>'[1]12. Prostredie pre život'!$AF$5</f>
        <v>236089.56</v>
      </c>
      <c r="J142" s="633">
        <f>'[1]12. Prostredie pre život'!$AG$5</f>
        <v>684597.76000000001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6604</v>
      </c>
      <c r="E143" s="257">
        <f>'[1]12. Prostredie pre život'!$AC$23</f>
        <v>6604</v>
      </c>
      <c r="F143" s="257">
        <f>'[1]12. Prostredie pre život'!$AD$23</f>
        <v>0</v>
      </c>
      <c r="G143" s="349">
        <f>'[1]12. Prostredie pre život'!$AE$23</f>
        <v>0</v>
      </c>
      <c r="H143" s="632">
        <f t="shared" ref="H143:H151" si="57">SUM(I143:K143)</f>
        <v>4854</v>
      </c>
      <c r="I143" s="633">
        <f>'[1]12. Prostredie pre život'!$AF$23</f>
        <v>4854</v>
      </c>
      <c r="J143" s="633">
        <f>'[1]12. Prostredie pre život'!$AG$23</f>
        <v>0</v>
      </c>
      <c r="K143" s="634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2">
        <f t="shared" si="57"/>
        <v>0</v>
      </c>
      <c r="I144" s="633">
        <f>'[1]12. Prostredie pre život'!$AF$25</f>
        <v>0</v>
      </c>
      <c r="J144" s="633">
        <f>'[1]12. Prostredie pre život'!$AG$25</f>
        <v>0</v>
      </c>
      <c r="K144" s="634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2">
        <f t="shared" si="57"/>
        <v>714</v>
      </c>
      <c r="I145" s="633">
        <f>'[1]12. Prostredie pre život'!$AF$42</f>
        <v>714</v>
      </c>
      <c r="J145" s="633">
        <f>'[1]12. Prostredie pre život'!$AG$42</f>
        <v>0</v>
      </c>
      <c r="K145" s="634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4078</v>
      </c>
      <c r="E146" s="257">
        <f>'[1]12. Prostredie pre život'!$AC$46</f>
        <v>4078</v>
      </c>
      <c r="F146" s="257">
        <f>'[1]12. Prostredie pre život'!$AD$46</f>
        <v>0</v>
      </c>
      <c r="G146" s="349">
        <f>'[1]12. Prostredie pre život'!$AE$46</f>
        <v>0</v>
      </c>
      <c r="H146" s="632">
        <f t="shared" si="57"/>
        <v>2268</v>
      </c>
      <c r="I146" s="633">
        <f>'[1]12. Prostredie pre život'!$AF$46</f>
        <v>2268</v>
      </c>
      <c r="J146" s="633">
        <f>'[1]12. Prostredie pre život'!$AG$46</f>
        <v>0</v>
      </c>
      <c r="K146" s="634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2">
        <f t="shared" si="57"/>
        <v>15010.61</v>
      </c>
      <c r="I147" s="633">
        <f>'[1]12. Prostredie pre život'!$AF$49</f>
        <v>15010.61</v>
      </c>
      <c r="J147" s="633">
        <f>'[1]12. Prostredie pre život'!$AG$49</f>
        <v>0</v>
      </c>
      <c r="K147" s="634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1600</v>
      </c>
      <c r="E148" s="257">
        <f>'[1]12. Prostredie pre život'!$AC$70</f>
        <v>1600</v>
      </c>
      <c r="F148" s="257">
        <f>'[1]12. Prostredie pre život'!$AD$70</f>
        <v>0</v>
      </c>
      <c r="G148" s="349">
        <f>'[1]12. Prostredie pre život'!$AE$70</f>
        <v>0</v>
      </c>
      <c r="H148" s="632">
        <f t="shared" si="57"/>
        <v>533.16999999999996</v>
      </c>
      <c r="I148" s="633">
        <f>'[1]12. Prostredie pre život'!$AF$70</f>
        <v>533.16999999999996</v>
      </c>
      <c r="J148" s="633">
        <f>'[1]12. Prostredie pre život'!$AG$70</f>
        <v>0</v>
      </c>
      <c r="K148" s="634">
        <f>'[1]12. Prostredie pre život'!$AH$70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32100</v>
      </c>
      <c r="E149" s="257">
        <f>'[1]12. Prostredie pre život'!$AC$72</f>
        <v>32100</v>
      </c>
      <c r="F149" s="257">
        <f>'[1]12. Prostredie pre život'!$AD$72</f>
        <v>0</v>
      </c>
      <c r="G149" s="349">
        <f>'[1]12. Prostredie pre život'!$AE$72</f>
        <v>0</v>
      </c>
      <c r="H149" s="632">
        <f t="shared" si="57"/>
        <v>34307.259999999995</v>
      </c>
      <c r="I149" s="633">
        <f>'[1]12. Prostredie pre život'!$AF$72</f>
        <v>34307.259999999995</v>
      </c>
      <c r="J149" s="633">
        <f>'[1]12. Prostredie pre život'!$AG$72</f>
        <v>0</v>
      </c>
      <c r="K149" s="634">
        <f>'[1]12. Prostredie pre život'!$AH$72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51000</v>
      </c>
      <c r="E150" s="257">
        <f>'[1]12. Prostredie pre život'!$AC$76</f>
        <v>41000</v>
      </c>
      <c r="F150" s="257">
        <f>'[1]12. Prostredie pre život'!$AD$76</f>
        <v>10000</v>
      </c>
      <c r="G150" s="349">
        <f>'[1]12. Prostredie pre život'!$AE$76</f>
        <v>0</v>
      </c>
      <c r="H150" s="632">
        <f t="shared" si="57"/>
        <v>32512.640000000003</v>
      </c>
      <c r="I150" s="633">
        <f>'[1]12. Prostredie pre život'!$AF$76</f>
        <v>22522.640000000003</v>
      </c>
      <c r="J150" s="633">
        <f>'[1]12. Prostredie pre život'!$AG$76</f>
        <v>9990</v>
      </c>
      <c r="K150" s="634">
        <f>'[1]12. Prostredie pre život'!$AH$76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život'!$AC$104</f>
        <v>0</v>
      </c>
      <c r="F151" s="266">
        <f>'[1]12. Prostredie pre život'!$AD$104</f>
        <v>0</v>
      </c>
      <c r="G151" s="570">
        <f>'[1]12. Prostredie pre život'!$AE$104</f>
        <v>0</v>
      </c>
      <c r="H151" s="635">
        <f t="shared" si="57"/>
        <v>0</v>
      </c>
      <c r="I151" s="636">
        <f>'[1]12. Prostredie pre život'!$AF$104</f>
        <v>0</v>
      </c>
      <c r="J151" s="636">
        <f>'[1]12. Prostredie pre život'!$AG$104</f>
        <v>0</v>
      </c>
      <c r="K151" s="637">
        <f>'[1]12. Prostredie pre život'!$AH$104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3095175</v>
      </c>
      <c r="E152" s="264">
        <f t="shared" si="58"/>
        <v>3062025</v>
      </c>
      <c r="F152" s="264">
        <f t="shared" si="58"/>
        <v>26000</v>
      </c>
      <c r="G152" s="348">
        <f t="shared" si="58"/>
        <v>7150</v>
      </c>
      <c r="H152" s="629">
        <f t="shared" si="58"/>
        <v>2533484.9799999995</v>
      </c>
      <c r="I152" s="630">
        <f t="shared" si="58"/>
        <v>2507703.5099999998</v>
      </c>
      <c r="J152" s="630">
        <f t="shared" si="58"/>
        <v>21351.67</v>
      </c>
      <c r="K152" s="631">
        <f>K153+K157+K162+K167+K171+K172+K173+K175+K176+K177</f>
        <v>4429.8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48090</v>
      </c>
      <c r="E153" s="257">
        <f t="shared" si="59"/>
        <v>48090</v>
      </c>
      <c r="F153" s="257">
        <f t="shared" si="59"/>
        <v>0</v>
      </c>
      <c r="G153" s="349">
        <f t="shared" si="59"/>
        <v>0</v>
      </c>
      <c r="H153" s="632">
        <f t="shared" si="59"/>
        <v>39919.9</v>
      </c>
      <c r="I153" s="633">
        <f t="shared" si="59"/>
        <v>39919.9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37090</v>
      </c>
      <c r="E154" s="257">
        <f>'[1]13. Sociálna starostlivosť'!$AC$5</f>
        <v>37090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32689.5</v>
      </c>
      <c r="I154" s="633">
        <f>'[1]13. Sociálna starostlivosť'!$AF$5</f>
        <v>32689.5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7230.4</v>
      </c>
      <c r="I156" s="633">
        <f>'[1]13. Sociálna starostlivosť'!$AF$9</f>
        <v>7230.4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269180</v>
      </c>
      <c r="E157" s="257">
        <f t="shared" si="60"/>
        <v>253180</v>
      </c>
      <c r="F157" s="257">
        <f t="shared" si="60"/>
        <v>16000</v>
      </c>
      <c r="G157" s="349">
        <f t="shared" si="60"/>
        <v>0</v>
      </c>
      <c r="H157" s="632">
        <f t="shared" si="60"/>
        <v>257238.38</v>
      </c>
      <c r="I157" s="633">
        <f t="shared" si="60"/>
        <v>241256.41999999998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108220</v>
      </c>
      <c r="E158" s="257">
        <f>'[1]13. Sociálna starostlivosť'!$AC$17</f>
        <v>92220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108201.95999999999</v>
      </c>
      <c r="I158" s="633">
        <f>'[1]13. Sociálna starostlivosť'!$AF$17</f>
        <v>92220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38400</v>
      </c>
      <c r="E159" s="257">
        <f>'[1]13. Sociálna starostlivosť'!$AC$21</f>
        <v>38400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33015</v>
      </c>
      <c r="I159" s="633">
        <f>'[1]13. Sociálna starostlivosť'!$AF$21</f>
        <v>33015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122560</v>
      </c>
      <c r="E161" s="257">
        <f>'[1]13. Sociálna starostlivosť'!$AC$26</f>
        <v>122560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116021.42</v>
      </c>
      <c r="I161" s="633">
        <f>'[1]13. Sociálna starostlivosť'!$AF$26</f>
        <v>116021.42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1834685</v>
      </c>
      <c r="E162" s="257">
        <f t="shared" si="61"/>
        <v>1824685</v>
      </c>
      <c r="F162" s="257">
        <f t="shared" si="61"/>
        <v>10000</v>
      </c>
      <c r="G162" s="349">
        <f t="shared" si="61"/>
        <v>0</v>
      </c>
      <c r="H162" s="632">
        <f t="shared" si="61"/>
        <v>1436637.2999999998</v>
      </c>
      <c r="I162" s="633">
        <f t="shared" si="61"/>
        <v>1431267.5899999999</v>
      </c>
      <c r="J162" s="633">
        <f t="shared" si="61"/>
        <v>5369.71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65740</v>
      </c>
      <c r="E163" s="257">
        <f>'[1]13. Sociálna starostlivosť'!$AC$30</f>
        <v>65740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57215</v>
      </c>
      <c r="I163" s="633">
        <f>'[1]13. Sociálna starostlivosť'!$AF$30</f>
        <v>57215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1515505</v>
      </c>
      <c r="E165" s="257">
        <f>'[1]13. Sociálna starostlivosť'!$AC$35</f>
        <v>1505505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1133184.2999999998</v>
      </c>
      <c r="I165" s="633">
        <f>'[1]13. Sociálna starostlivosť'!$AF$35</f>
        <v>1127814.5899999999</v>
      </c>
      <c r="J165" s="633">
        <f>'[1]13. Sociálna starostlivosť'!$AG$35</f>
        <v>5369.71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253440</v>
      </c>
      <c r="E166" s="257">
        <f>'[1]13. Sociálna starostlivosť'!$AC$50</f>
        <v>253440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246238</v>
      </c>
      <c r="I166" s="633">
        <f>'[1]13. Sociálna starostlivosť'!$AF$50</f>
        <v>246238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120560</v>
      </c>
      <c r="E167" s="257">
        <f t="shared" si="62"/>
        <v>120560</v>
      </c>
      <c r="F167" s="257">
        <f t="shared" si="62"/>
        <v>0</v>
      </c>
      <c r="G167" s="349">
        <f t="shared" si="62"/>
        <v>0</v>
      </c>
      <c r="H167" s="632">
        <f t="shared" si="62"/>
        <v>120117</v>
      </c>
      <c r="I167" s="633">
        <f t="shared" si="62"/>
        <v>120117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44420</v>
      </c>
      <c r="E168" s="257">
        <f>'[1]13. Sociálna starostlivosť'!$AC$55</f>
        <v>44420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44272</v>
      </c>
      <c r="I168" s="633">
        <f>'[1]13. Sociálna starostlivosť'!$AF$55</f>
        <v>44272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614</v>
      </c>
      <c r="D169" s="258">
        <f>SUM(E169:G169)</f>
        <v>4560</v>
      </c>
      <c r="E169" s="257">
        <f>'[1]13. Sociálna starostlivosť'!$AC$59</f>
        <v>4560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3970</v>
      </c>
      <c r="I169" s="633">
        <f>'[1]13. Sociálna starostlivosť'!$AF$59</f>
        <v>3970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71580</v>
      </c>
      <c r="E170" s="257">
        <f>'[1]13. Sociálna starostlivosť'!$AC$62</f>
        <v>71580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71875</v>
      </c>
      <c r="I170" s="633">
        <f>'[1]13. Sociálna starostlivosť'!$AF$62</f>
        <v>71875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8090</v>
      </c>
      <c r="E171" s="257">
        <f>'[1]13. Sociálna starostlivosť'!$AC$65</f>
        <v>8090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7069.5</v>
      </c>
      <c r="I171" s="633">
        <f>'[1]13. Sociálna starostlivosť'!$AF$65</f>
        <v>7069.5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170.15</v>
      </c>
      <c r="I172" s="633">
        <f>'[1]13. Sociálna starostlivosť'!$AF$67</f>
        <v>170.15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16.600000000000001</v>
      </c>
      <c r="I173" s="633">
        <f t="shared" si="63"/>
        <v>16.600000000000001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16.600000000000001</v>
      </c>
      <c r="I174" s="633">
        <f>'[1]13. Sociálna starostlivosť'!$AF$79</f>
        <v>16.600000000000001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10266.709999999999</v>
      </c>
      <c r="I175" s="633">
        <f>'[1]13. Sociálna starostlivosť'!$AF$104</f>
        <v>10266.709999999999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608</v>
      </c>
      <c r="C176" s="566" t="s">
        <v>394</v>
      </c>
      <c r="D176" s="258">
        <f>SUM(E176:G176)</f>
        <v>160890</v>
      </c>
      <c r="E176" s="257">
        <f>'[1]13. Sociálna starostlivosť'!$AC$106</f>
        <v>160890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143964.64000000001</v>
      </c>
      <c r="I176" s="633">
        <f>'[1]13. Sociálna starostlivosť'!$AF$106</f>
        <v>143964.64000000001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607</v>
      </c>
      <c r="C177" s="356" t="s">
        <v>609</v>
      </c>
      <c r="D177" s="258">
        <f>SUM(E177:G177)</f>
        <v>579550</v>
      </c>
      <c r="E177" s="257">
        <f>'[1]13. Sociálna starostlivosť'!$AC$112</f>
        <v>572400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518084.8</v>
      </c>
      <c r="I177" s="633">
        <f>'[1]13. Sociálna starostlivosť'!$AF$112</f>
        <v>513655</v>
      </c>
      <c r="J177" s="633">
        <f>'[1]13. Sociálna starostlivosť'!$AG$112</f>
        <v>0</v>
      </c>
      <c r="K177" s="634">
        <f>'[1]13. Sociálna starostlivosť'!$AH$112</f>
        <v>4429.8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889250</v>
      </c>
      <c r="E178" s="562">
        <f>'[1]14. Bývanie'!$AC$24</f>
        <v>676305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774416.48</v>
      </c>
      <c r="I178" s="641">
        <f>'[1]14. Bývanie'!$AF$24</f>
        <v>588078.97</v>
      </c>
      <c r="J178" s="641">
        <f>'[1]14. Bývanie'!$AG$24</f>
        <v>0</v>
      </c>
      <c r="K178" s="642">
        <f>'[1]14. Bývanie'!$AH$24</f>
        <v>186337.50999999998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8245267</v>
      </c>
      <c r="E179" s="264">
        <f t="shared" si="64"/>
        <v>2840791</v>
      </c>
      <c r="F179" s="264">
        <f t="shared" si="64"/>
        <v>52732</v>
      </c>
      <c r="G179" s="348">
        <f t="shared" si="64"/>
        <v>5351744</v>
      </c>
      <c r="H179" s="629">
        <f t="shared" si="64"/>
        <v>7223712.3699999992</v>
      </c>
      <c r="I179" s="630">
        <f t="shared" si="64"/>
        <v>2349612.2399999993</v>
      </c>
      <c r="J179" s="630">
        <f t="shared" si="64"/>
        <v>4273.2</v>
      </c>
      <c r="K179" s="631">
        <f t="shared" si="64"/>
        <v>4869826.93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2582892</v>
      </c>
      <c r="E180" s="257">
        <f>'[1]15. Administratíva'!$AC$4</f>
        <v>2530160</v>
      </c>
      <c r="F180" s="257">
        <f>'[1]15. Administratíva'!$AD$4</f>
        <v>52732</v>
      </c>
      <c r="G180" s="349">
        <f>'[1]15. Administratíva'!$AE$4</f>
        <v>0</v>
      </c>
      <c r="H180" s="632">
        <f>SUM(I180:K180)</f>
        <v>2096134.9999999993</v>
      </c>
      <c r="I180" s="633">
        <f>'[1]15. Administratíva'!$AF$4</f>
        <v>2091861.7999999993</v>
      </c>
      <c r="J180" s="633">
        <f>'[1]15. Administratíva'!$AG$4</f>
        <v>4273.2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5662375</v>
      </c>
      <c r="E182" s="343">
        <f>'[1]15. Administratíva'!$AC$103</f>
        <v>310631</v>
      </c>
      <c r="F182" s="262">
        <f>'[1]15. Administratíva'!$AD$103</f>
        <v>0</v>
      </c>
      <c r="G182" s="572">
        <f>'[1]15. Administratíva'!$AE$103</f>
        <v>5351744</v>
      </c>
      <c r="H182" s="643">
        <f>SUM(I182:K182)</f>
        <v>5127577.37</v>
      </c>
      <c r="I182" s="644">
        <f>'[1]15. Administratíva'!$AF$103</f>
        <v>257750.44</v>
      </c>
      <c r="J182" s="644">
        <f>'[1]15. Administratíva'!$AG$103</f>
        <v>0</v>
      </c>
      <c r="K182" s="645">
        <f>'[1]15. Administratíva'!$AH$103</f>
        <v>4869826.93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4" t="s">
        <v>393</v>
      </c>
      <c r="B1" s="714"/>
      <c r="C1" s="714"/>
      <c r="D1" s="714"/>
      <c r="E1" s="714"/>
      <c r="F1" s="714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20" t="s">
        <v>132</v>
      </c>
      <c r="E5" s="720"/>
      <c r="F5" s="720"/>
      <c r="G5" s="720"/>
      <c r="H5" s="721" t="s">
        <v>133</v>
      </c>
      <c r="I5" s="721"/>
      <c r="J5" s="721"/>
      <c r="K5" s="721"/>
      <c r="L5" s="715" t="s">
        <v>2</v>
      </c>
      <c r="M5" s="715"/>
      <c r="N5" s="715"/>
      <c r="O5" s="715"/>
      <c r="P5" s="715" t="s">
        <v>391</v>
      </c>
      <c r="Q5" s="715"/>
      <c r="R5" s="715"/>
      <c r="S5" s="715"/>
      <c r="T5" s="715" t="s">
        <v>387</v>
      </c>
      <c r="U5" s="715"/>
      <c r="V5" s="715"/>
      <c r="W5" s="715"/>
    </row>
    <row r="6" spans="1:23" ht="12.75" customHeight="1" thickBot="1" x14ac:dyDescent="0.25">
      <c r="A6" s="61"/>
      <c r="B6" s="717" t="s">
        <v>134</v>
      </c>
      <c r="C6" s="717"/>
      <c r="D6" s="129" t="s">
        <v>135</v>
      </c>
      <c r="E6" s="718" t="s">
        <v>136</v>
      </c>
      <c r="F6" s="718"/>
      <c r="G6" s="718"/>
      <c r="H6" s="129" t="s">
        <v>135</v>
      </c>
      <c r="I6" s="719" t="s">
        <v>137</v>
      </c>
      <c r="J6" s="719"/>
      <c r="K6" s="719"/>
      <c r="L6" s="130" t="s">
        <v>135</v>
      </c>
      <c r="M6" s="716" t="s">
        <v>138</v>
      </c>
      <c r="N6" s="716"/>
      <c r="O6" s="716"/>
      <c r="P6" s="130" t="s">
        <v>135</v>
      </c>
      <c r="Q6" s="716" t="s">
        <v>138</v>
      </c>
      <c r="R6" s="716"/>
      <c r="S6" s="716"/>
      <c r="T6" s="130" t="s">
        <v>135</v>
      </c>
      <c r="U6" s="716" t="s">
        <v>139</v>
      </c>
      <c r="V6" s="716"/>
      <c r="W6" s="716"/>
    </row>
    <row r="7" spans="1:23" ht="24.75" thickBot="1" x14ac:dyDescent="0.25">
      <c r="A7" s="61"/>
      <c r="B7" s="717"/>
      <c r="C7" s="717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22" t="s">
        <v>392</v>
      </c>
      <c r="B1" s="722"/>
      <c r="C1" s="722"/>
      <c r="D1" s="722"/>
      <c r="E1" s="722"/>
      <c r="F1" s="722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9" width="15.5703125" style="101" customWidth="1"/>
    <col min="10" max="242" width="9.140625" style="101" customWidth="1"/>
    <col min="243" max="16384" width="34.28515625" style="101"/>
  </cols>
  <sheetData>
    <row r="1" spans="1:3" ht="20.25" x14ac:dyDescent="0.3">
      <c r="A1" s="725" t="s">
        <v>642</v>
      </c>
      <c r="B1" s="725"/>
      <c r="C1" s="725"/>
    </row>
    <row r="2" spans="1:3" ht="13.5" thickBot="1" x14ac:dyDescent="0.25"/>
    <row r="3" spans="1:3" ht="36.75" thickBot="1" x14ac:dyDescent="0.3">
      <c r="A3" s="328" t="s">
        <v>401</v>
      </c>
      <c r="B3" s="411" t="s">
        <v>626</v>
      </c>
      <c r="C3" s="411" t="s">
        <v>629</v>
      </c>
    </row>
    <row r="4" spans="1:3" ht="20.25" customHeight="1" x14ac:dyDescent="0.25">
      <c r="A4" s="327" t="s">
        <v>402</v>
      </c>
      <c r="B4" s="412">
        <f>'príjmy '!B3</f>
        <v>27635893</v>
      </c>
      <c r="C4" s="412">
        <f>'príjmy '!C3</f>
        <v>22874050.359999999</v>
      </c>
    </row>
    <row r="5" spans="1:3" ht="21.75" customHeight="1" x14ac:dyDescent="0.25">
      <c r="A5" s="105" t="s">
        <v>403</v>
      </c>
      <c r="B5" s="413">
        <f>'výdavky '!E6</f>
        <v>27706421</v>
      </c>
      <c r="C5" s="413">
        <f>'výdavky '!I6</f>
        <v>22016238.439999998</v>
      </c>
    </row>
    <row r="6" spans="1:3" ht="21" customHeight="1" x14ac:dyDescent="0.25">
      <c r="A6" s="105" t="s">
        <v>379</v>
      </c>
      <c r="B6" s="413">
        <f t="shared" ref="B6:C6" si="0">B4-B5</f>
        <v>-70528</v>
      </c>
      <c r="C6" s="413">
        <f t="shared" si="0"/>
        <v>857811.92000000179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'!B93</f>
        <v>5616072</v>
      </c>
      <c r="C8" s="413">
        <f>'príjmy '!C93</f>
        <v>2317971.6</v>
      </c>
    </row>
    <row r="9" spans="1:3" ht="21" customHeight="1" x14ac:dyDescent="0.25">
      <c r="A9" s="105" t="s">
        <v>397</v>
      </c>
      <c r="B9" s="413">
        <f>'výdavky '!F6</f>
        <v>4847355</v>
      </c>
      <c r="C9" s="413">
        <f>'výdavky '!J6</f>
        <v>2005894.4</v>
      </c>
    </row>
    <row r="10" spans="1:3" ht="21.75" customHeight="1" x14ac:dyDescent="0.25">
      <c r="A10" s="105" t="s">
        <v>379</v>
      </c>
      <c r="B10" s="413">
        <f t="shared" ref="B10:C10" si="1">B8-B9</f>
        <v>768717</v>
      </c>
      <c r="C10" s="413">
        <f t="shared" si="1"/>
        <v>312077.20000000019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'!B106</f>
        <v>4873650</v>
      </c>
      <c r="C12" s="413">
        <f>'príjmy '!C106</f>
        <v>4487032.95</v>
      </c>
    </row>
    <row r="13" spans="1:3" ht="22.5" customHeight="1" x14ac:dyDescent="0.25">
      <c r="A13" s="105" t="s">
        <v>399</v>
      </c>
      <c r="B13" s="413">
        <f>'výdavky '!G6</f>
        <v>5571839</v>
      </c>
      <c r="C13" s="413">
        <f>'výdavky '!K6</f>
        <v>5060594.2399999993</v>
      </c>
    </row>
    <row r="14" spans="1:3" ht="18.75" thickBot="1" x14ac:dyDescent="0.3">
      <c r="A14" s="108" t="s">
        <v>379</v>
      </c>
      <c r="B14" s="414">
        <f t="shared" ref="B14:C14" si="2">B12-B13</f>
        <v>-698189</v>
      </c>
      <c r="C14" s="414">
        <f t="shared" si="2"/>
        <v>-573561.28999999911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38125615</v>
      </c>
      <c r="C16" s="415">
        <f t="shared" si="3"/>
        <v>29679054.91</v>
      </c>
    </row>
    <row r="17" spans="1:3" ht="27.75" customHeight="1" thickBot="1" x14ac:dyDescent="0.35">
      <c r="A17" s="325" t="s">
        <v>383</v>
      </c>
      <c r="B17" s="416">
        <f t="shared" ref="B17:C17" si="4">B5+B9+B13</f>
        <v>38125615</v>
      </c>
      <c r="C17" s="416">
        <f t="shared" si="4"/>
        <v>29082727.079999994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596327.83000000566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33251965</v>
      </c>
      <c r="C21" s="418">
        <f t="shared" si="6"/>
        <v>25192021.960000001</v>
      </c>
    </row>
    <row r="22" spans="1:3" ht="21" thickBot="1" x14ac:dyDescent="0.35">
      <c r="A22" s="323" t="s">
        <v>424</v>
      </c>
      <c r="B22" s="419">
        <f t="shared" ref="B22:C22" si="7">B5+B9</f>
        <v>32553776</v>
      </c>
      <c r="C22" s="419">
        <f t="shared" si="7"/>
        <v>24022132.839999996</v>
      </c>
    </row>
    <row r="23" spans="1:3" ht="21" thickBot="1" x14ac:dyDescent="0.35">
      <c r="A23" s="324" t="s">
        <v>410</v>
      </c>
      <c r="B23" s="420">
        <f t="shared" ref="B23:C23" si="8">B21-B22</f>
        <v>698189</v>
      </c>
      <c r="C23" s="420">
        <f t="shared" si="8"/>
        <v>1169889.1200000048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626</v>
      </c>
      <c r="C25" s="646" t="s">
        <v>629</v>
      </c>
    </row>
    <row r="26" spans="1:3" ht="18" x14ac:dyDescent="0.25">
      <c r="A26" s="555" t="s">
        <v>5</v>
      </c>
      <c r="B26" s="647">
        <f>'príjmy '!B4</f>
        <v>13022000</v>
      </c>
      <c r="C26" s="647">
        <f>'príjmy '!C4</f>
        <v>10714032.41</v>
      </c>
    </row>
    <row r="27" spans="1:3" ht="18" x14ac:dyDescent="0.25">
      <c r="A27" s="556" t="s">
        <v>596</v>
      </c>
      <c r="B27" s="648">
        <f>'príjmy '!B18+'príjmy '!B29+'príjmy '!B52+'príjmy '!B94</f>
        <v>4824215</v>
      </c>
      <c r="C27" s="648">
        <f>'príjmy '!C18+'príjmy '!C29+'príjmy '!C52+'príjmy '!C94</f>
        <v>3245882.99</v>
      </c>
    </row>
    <row r="28" spans="1:3" ht="18" x14ac:dyDescent="0.25">
      <c r="A28" s="556" t="s">
        <v>597</v>
      </c>
      <c r="B28" s="648">
        <f>'príjmy '!B61+'príjmy '!B97</f>
        <v>15405750</v>
      </c>
      <c r="C28" s="648">
        <f>'príjmy '!C61+'príjmy '!C97</f>
        <v>11232106.560000001</v>
      </c>
    </row>
    <row r="29" spans="1:3" ht="18" x14ac:dyDescent="0.25">
      <c r="A29" s="556" t="s">
        <v>598</v>
      </c>
      <c r="B29" s="648">
        <f>'príjmy '!B107+'príjmy '!B108+'príjmy '!B109+'príjmy '!B110+'príjmy '!B111</f>
        <v>1561100</v>
      </c>
      <c r="C29" s="648">
        <f>'príjmy '!C107+'príjmy '!C108+'príjmy '!C109+'príjmy '!C110+'príjmy '!C111</f>
        <v>1534349.9700000004</v>
      </c>
    </row>
    <row r="30" spans="1:3" ht="18" x14ac:dyDescent="0.25">
      <c r="A30" s="556" t="s">
        <v>599</v>
      </c>
      <c r="B30" s="648">
        <f>'príjmy '!B112+'príjmy '!B113</f>
        <v>3312550</v>
      </c>
      <c r="C30" s="648">
        <f>'príjmy '!C112+'príjmy '!C113</f>
        <v>2952682.98</v>
      </c>
    </row>
    <row r="31" spans="1:3" ht="18" x14ac:dyDescent="0.25">
      <c r="A31" s="556" t="s">
        <v>600</v>
      </c>
      <c r="B31" s="648">
        <f>B5</f>
        <v>27706421</v>
      </c>
      <c r="C31" s="648">
        <f>C5</f>
        <v>22016238.439999998</v>
      </c>
    </row>
    <row r="32" spans="1:3" ht="18" x14ac:dyDescent="0.25">
      <c r="A32" s="556" t="s">
        <v>601</v>
      </c>
      <c r="B32" s="648">
        <f>B9</f>
        <v>4847355</v>
      </c>
      <c r="C32" s="648">
        <f t="shared" ref="C32" si="9">C9</f>
        <v>2005894.4</v>
      </c>
    </row>
    <row r="33" spans="1:13" ht="18.75" thickBot="1" x14ac:dyDescent="0.3">
      <c r="A33" s="557" t="s">
        <v>602</v>
      </c>
      <c r="B33" s="649">
        <f t="shared" ref="B33:C33" si="10">B13</f>
        <v>5571839</v>
      </c>
      <c r="C33" s="649">
        <f t="shared" si="10"/>
        <v>5060594.2399999993</v>
      </c>
    </row>
    <row r="34" spans="1:13" ht="13.5" thickBot="1" x14ac:dyDescent="0.25">
      <c r="A34" s="723"/>
      <c r="C34" s="345"/>
    </row>
    <row r="35" spans="1:13" ht="36.75" thickBot="1" x14ac:dyDescent="0.3">
      <c r="A35" s="724"/>
      <c r="B35" s="568" t="s">
        <v>626</v>
      </c>
      <c r="C35" s="567" t="s">
        <v>629</v>
      </c>
    </row>
    <row r="36" spans="1:13" ht="18" x14ac:dyDescent="0.25">
      <c r="A36" s="558" t="s">
        <v>436</v>
      </c>
      <c r="B36" s="341">
        <f>B26+B27+B28+B29+B30</f>
        <v>38125615</v>
      </c>
      <c r="C36" s="650">
        <f t="shared" ref="C36" si="11">C26+C27+C28+C29+C30</f>
        <v>29679054.91</v>
      </c>
    </row>
    <row r="37" spans="1:13" ht="18" x14ac:dyDescent="0.25">
      <c r="A37" s="559" t="s">
        <v>437</v>
      </c>
      <c r="B37" s="338">
        <f t="shared" ref="B37:C37" si="12">B31+B32+B33</f>
        <v>38125615</v>
      </c>
      <c r="C37" s="651">
        <f t="shared" si="12"/>
        <v>29082727.079999994</v>
      </c>
    </row>
    <row r="38" spans="1:13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596327.83000000566</v>
      </c>
      <c r="D38" s="340"/>
      <c r="E38" s="340"/>
      <c r="F38" s="340"/>
      <c r="G38" s="340"/>
      <c r="H38" s="340"/>
      <c r="I38" s="340"/>
    </row>
    <row r="42" spans="1:13" x14ac:dyDescent="0.2">
      <c r="M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2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zoomScaleNormal="100" workbookViewId="0">
      <selection activeCell="B12" sqref="B12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30" t="s">
        <v>632</v>
      </c>
      <c r="B1" s="730"/>
      <c r="C1" s="730"/>
      <c r="D1" s="730"/>
    </row>
    <row r="2" spans="1:4" s="678" customFormat="1" ht="34.5" customHeight="1" thickBot="1" x14ac:dyDescent="0.35">
      <c r="A2" s="674" t="s">
        <v>589</v>
      </c>
      <c r="B2" s="675" t="s">
        <v>381</v>
      </c>
      <c r="C2" s="676" t="s">
        <v>630</v>
      </c>
      <c r="D2" s="677" t="s">
        <v>631</v>
      </c>
    </row>
    <row r="3" spans="1:4" ht="15.75" x14ac:dyDescent="0.25">
      <c r="A3" s="573" t="s">
        <v>438</v>
      </c>
      <c r="B3" s="667" t="s">
        <v>443</v>
      </c>
      <c r="C3" s="668">
        <f>150000-2220-100</f>
        <v>147680</v>
      </c>
      <c r="D3" s="682">
        <v>7897.44</v>
      </c>
    </row>
    <row r="4" spans="1:4" ht="15.75" x14ac:dyDescent="0.25">
      <c r="A4" s="573" t="s">
        <v>645</v>
      </c>
      <c r="B4" s="667" t="s">
        <v>646</v>
      </c>
      <c r="C4" s="668">
        <v>10150</v>
      </c>
      <c r="D4" s="682"/>
    </row>
    <row r="5" spans="1:4" ht="15.75" x14ac:dyDescent="0.25">
      <c r="A5" s="573" t="s">
        <v>559</v>
      </c>
      <c r="B5" s="669" t="s">
        <v>439</v>
      </c>
      <c r="C5" s="670">
        <v>115000</v>
      </c>
      <c r="D5" s="683">
        <v>115000</v>
      </c>
    </row>
    <row r="6" spans="1:4" ht="15.75" x14ac:dyDescent="0.25">
      <c r="A6" s="726" t="s">
        <v>440</v>
      </c>
      <c r="B6" s="669" t="s">
        <v>554</v>
      </c>
      <c r="C6" s="670">
        <v>227000</v>
      </c>
      <c r="D6" s="683">
        <v>189083.3</v>
      </c>
    </row>
    <row r="7" spans="1:4" ht="15.75" x14ac:dyDescent="0.25">
      <c r="A7" s="728"/>
      <c r="B7" s="669" t="s">
        <v>635</v>
      </c>
      <c r="C7" s="670">
        <v>2542000</v>
      </c>
      <c r="D7" s="683"/>
    </row>
    <row r="8" spans="1:4" ht="15.75" x14ac:dyDescent="0.25">
      <c r="A8" s="729"/>
      <c r="B8" s="669" t="s">
        <v>618</v>
      </c>
      <c r="C8" s="670">
        <v>20000</v>
      </c>
      <c r="D8" s="683">
        <v>7844.2</v>
      </c>
    </row>
    <row r="9" spans="1:4" ht="15.75" x14ac:dyDescent="0.25">
      <c r="A9" s="726" t="s">
        <v>621</v>
      </c>
      <c r="B9" s="669" t="s">
        <v>651</v>
      </c>
      <c r="C9" s="670">
        <f>239000+100</f>
        <v>239100</v>
      </c>
      <c r="D9" s="683">
        <v>238203.3</v>
      </c>
    </row>
    <row r="10" spans="1:4" ht="15.75" x14ac:dyDescent="0.25">
      <c r="A10" s="728"/>
      <c r="B10" s="669" t="s">
        <v>652</v>
      </c>
      <c r="C10" s="670">
        <v>25392</v>
      </c>
      <c r="D10" s="683">
        <v>25391.54</v>
      </c>
    </row>
    <row r="11" spans="1:4" ht="15.75" x14ac:dyDescent="0.25">
      <c r="A11" s="728"/>
      <c r="B11" s="669" t="s">
        <v>653</v>
      </c>
      <c r="C11" s="670">
        <v>11306</v>
      </c>
      <c r="D11" s="683">
        <v>11305.2</v>
      </c>
    </row>
    <row r="12" spans="1:4" ht="15.75" x14ac:dyDescent="0.25">
      <c r="A12" s="728"/>
      <c r="B12" s="669" t="s">
        <v>654</v>
      </c>
      <c r="C12" s="670">
        <v>3000</v>
      </c>
      <c r="D12" s="683">
        <v>3000</v>
      </c>
    </row>
    <row r="13" spans="1:4" ht="15.75" x14ac:dyDescent="0.25">
      <c r="A13" s="728"/>
      <c r="B13" s="669" t="s">
        <v>659</v>
      </c>
      <c r="C13" s="670">
        <v>80000</v>
      </c>
      <c r="D13" s="683">
        <v>80000</v>
      </c>
    </row>
    <row r="14" spans="1:4" ht="15.75" x14ac:dyDescent="0.25">
      <c r="A14" s="728"/>
      <c r="B14" s="669" t="s">
        <v>655</v>
      </c>
      <c r="C14" s="670">
        <v>14600</v>
      </c>
      <c r="D14" s="683">
        <v>14597.2</v>
      </c>
    </row>
    <row r="15" spans="1:4" ht="15.75" x14ac:dyDescent="0.25">
      <c r="A15" s="728"/>
      <c r="B15" s="669" t="s">
        <v>656</v>
      </c>
      <c r="C15" s="670">
        <f>4299+6333</f>
        <v>10632</v>
      </c>
      <c r="D15" s="683">
        <v>10631.36</v>
      </c>
    </row>
    <row r="16" spans="1:4" ht="15.75" x14ac:dyDescent="0.25">
      <c r="A16" s="728"/>
      <c r="B16" s="669" t="s">
        <v>657</v>
      </c>
      <c r="C16" s="670">
        <v>80982</v>
      </c>
      <c r="D16" s="683">
        <v>80981.509999999995</v>
      </c>
    </row>
    <row r="17" spans="1:4" ht="15.75" x14ac:dyDescent="0.25">
      <c r="A17" s="728"/>
      <c r="B17" s="669" t="s">
        <v>658</v>
      </c>
      <c r="C17" s="670">
        <v>2073</v>
      </c>
      <c r="D17" s="683">
        <v>2072.4</v>
      </c>
    </row>
    <row r="18" spans="1:4" ht="15.75" x14ac:dyDescent="0.25">
      <c r="A18" s="729"/>
      <c r="B18" s="671" t="s">
        <v>619</v>
      </c>
      <c r="C18" s="670">
        <v>4608</v>
      </c>
      <c r="D18" s="683"/>
    </row>
    <row r="19" spans="1:4" ht="15.75" x14ac:dyDescent="0.25">
      <c r="A19" s="653" t="s">
        <v>444</v>
      </c>
      <c r="B19" s="671" t="s">
        <v>639</v>
      </c>
      <c r="C19" s="670"/>
      <c r="D19" s="683">
        <v>2000</v>
      </c>
    </row>
    <row r="20" spans="1:4" ht="15.75" x14ac:dyDescent="0.25">
      <c r="A20" s="726" t="s">
        <v>624</v>
      </c>
      <c r="B20" s="671" t="s">
        <v>583</v>
      </c>
      <c r="C20" s="670">
        <v>494000</v>
      </c>
      <c r="D20" s="683">
        <v>493591.92</v>
      </c>
    </row>
    <row r="21" spans="1:4" ht="15.75" x14ac:dyDescent="0.25">
      <c r="A21" s="729"/>
      <c r="B21" s="671" t="s">
        <v>638</v>
      </c>
      <c r="C21" s="670">
        <v>4100</v>
      </c>
      <c r="D21" s="683">
        <v>4082.4</v>
      </c>
    </row>
    <row r="22" spans="1:4" ht="15.75" x14ac:dyDescent="0.25">
      <c r="A22" s="726" t="s">
        <v>649</v>
      </c>
      <c r="B22" s="671" t="s">
        <v>335</v>
      </c>
      <c r="C22" s="670"/>
      <c r="D22" s="683"/>
    </row>
    <row r="23" spans="1:4" ht="15.75" x14ac:dyDescent="0.25">
      <c r="A23" s="728"/>
      <c r="B23" s="669" t="s">
        <v>611</v>
      </c>
      <c r="C23" s="670">
        <v>727000</v>
      </c>
      <c r="D23" s="683">
        <v>684597.76000000001</v>
      </c>
    </row>
    <row r="24" spans="1:4" ht="15.75" x14ac:dyDescent="0.25">
      <c r="A24" s="729"/>
      <c r="B24" s="669" t="s">
        <v>650</v>
      </c>
      <c r="C24" s="670">
        <v>10000</v>
      </c>
      <c r="D24" s="683">
        <v>9990</v>
      </c>
    </row>
    <row r="25" spans="1:4" ht="15.75" x14ac:dyDescent="0.25">
      <c r="A25" s="726" t="s">
        <v>604</v>
      </c>
      <c r="B25" s="669" t="s">
        <v>623</v>
      </c>
      <c r="C25" s="670">
        <v>16000</v>
      </c>
      <c r="D25" s="683">
        <v>15981.96</v>
      </c>
    </row>
    <row r="26" spans="1:4" ht="15.75" x14ac:dyDescent="0.25">
      <c r="A26" s="729"/>
      <c r="B26" s="669" t="s">
        <v>535</v>
      </c>
      <c r="C26" s="670">
        <v>10000</v>
      </c>
      <c r="D26" s="683">
        <v>5369.71</v>
      </c>
    </row>
    <row r="27" spans="1:4" ht="15.75" x14ac:dyDescent="0.25">
      <c r="A27" s="726" t="s">
        <v>647</v>
      </c>
      <c r="B27" s="672" t="s">
        <v>648</v>
      </c>
      <c r="C27" s="694">
        <v>4277</v>
      </c>
      <c r="D27" s="684">
        <v>4273.2</v>
      </c>
    </row>
    <row r="28" spans="1:4" ht="16.5" thickBot="1" x14ac:dyDescent="0.3">
      <c r="A28" s="727"/>
      <c r="B28" s="672" t="s">
        <v>441</v>
      </c>
      <c r="C28" s="673">
        <v>48455</v>
      </c>
      <c r="D28" s="684"/>
    </row>
    <row r="29" spans="1:4" s="346" customFormat="1" ht="19.5" thickBot="1" x14ac:dyDescent="0.35">
      <c r="A29" s="679"/>
      <c r="B29" s="680" t="s">
        <v>442</v>
      </c>
      <c r="C29" s="681">
        <f>SUM(C3:C28)</f>
        <v>4847355</v>
      </c>
      <c r="D29" s="825">
        <f t="shared" ref="D29" si="0">SUM(D3:D28)</f>
        <v>2005894.3999999997</v>
      </c>
    </row>
    <row r="36" spans="3:3" s="342" customFormat="1" ht="15.75" x14ac:dyDescent="0.25">
      <c r="C36" s="574"/>
    </row>
  </sheetData>
  <mergeCells count="7">
    <mergeCell ref="A27:A28"/>
    <mergeCell ref="A22:A24"/>
    <mergeCell ref="A1:D1"/>
    <mergeCell ref="A6:A8"/>
    <mergeCell ref="A9:A18"/>
    <mergeCell ref="A25:A26"/>
    <mergeCell ref="A20:A2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8"/>
  <sheetViews>
    <sheetView topLeftCell="C1" workbookViewId="0">
      <selection sqref="A1:W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10.42578125" style="485" customWidth="1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customWidth="1"/>
    <col min="13" max="13" width="9.42578125" style="485" bestFit="1" customWidth="1"/>
    <col min="14" max="14" width="16.85546875" style="485" bestFit="1" customWidth="1"/>
    <col min="15" max="16" width="14.140625" style="485" bestFit="1" customWidth="1"/>
    <col min="17" max="18" width="12.5703125" style="485" bestFit="1" customWidth="1"/>
    <col min="19" max="23" width="13.5703125" style="485" customWidth="1"/>
    <col min="24" max="24" width="9.140625" style="485"/>
  </cols>
  <sheetData>
    <row r="1" spans="1:23" ht="16.5" customHeight="1" thickBot="1" x14ac:dyDescent="0.3">
      <c r="A1" s="785" t="s">
        <v>555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</row>
    <row r="2" spans="1:23" ht="15" customHeight="1" thickBot="1" x14ac:dyDescent="0.3">
      <c r="A2" s="747" t="s">
        <v>462</v>
      </c>
      <c r="B2" s="750" t="s">
        <v>463</v>
      </c>
      <c r="C2" s="814" t="s">
        <v>378</v>
      </c>
      <c r="D2" s="815"/>
      <c r="E2" s="815"/>
      <c r="F2" s="815"/>
      <c r="G2" s="815"/>
      <c r="H2" s="815"/>
      <c r="I2" s="815"/>
      <c r="J2" s="815"/>
      <c r="K2" s="816"/>
      <c r="L2" s="690"/>
      <c r="M2" s="599"/>
      <c r="N2" s="798" t="s">
        <v>465</v>
      </c>
      <c r="O2" s="805" t="s">
        <v>556</v>
      </c>
      <c r="P2" s="806"/>
      <c r="Q2" s="806"/>
      <c r="R2" s="807"/>
      <c r="S2" s="790" t="s">
        <v>557</v>
      </c>
      <c r="T2" s="791"/>
      <c r="U2" s="791"/>
      <c r="V2" s="791"/>
      <c r="W2" s="792"/>
    </row>
    <row r="3" spans="1:23" ht="24.75" customHeight="1" x14ac:dyDescent="0.25">
      <c r="A3" s="748"/>
      <c r="B3" s="751"/>
      <c r="C3" s="753" t="s">
        <v>466</v>
      </c>
      <c r="D3" s="754"/>
      <c r="E3" s="755"/>
      <c r="F3" s="756" t="s">
        <v>467</v>
      </c>
      <c r="G3" s="757"/>
      <c r="H3" s="758"/>
      <c r="I3" s="779" t="s">
        <v>540</v>
      </c>
      <c r="J3" s="759" t="s">
        <v>468</v>
      </c>
      <c r="K3" s="615" t="s">
        <v>469</v>
      </c>
      <c r="L3" s="765" t="s">
        <v>644</v>
      </c>
      <c r="M3" s="819" t="s">
        <v>464</v>
      </c>
      <c r="N3" s="799"/>
      <c r="O3" s="808"/>
      <c r="P3" s="809"/>
      <c r="Q3" s="809"/>
      <c r="R3" s="810"/>
      <c r="S3" s="793"/>
      <c r="T3" s="794"/>
      <c r="U3" s="794"/>
      <c r="V3" s="794"/>
      <c r="W3" s="795"/>
    </row>
    <row r="4" spans="1:23" ht="15.75" thickBot="1" x14ac:dyDescent="0.3">
      <c r="A4" s="748"/>
      <c r="B4" s="751"/>
      <c r="C4" s="762" t="s">
        <v>395</v>
      </c>
      <c r="D4" s="801" t="s">
        <v>470</v>
      </c>
      <c r="E4" s="802"/>
      <c r="F4" s="803" t="s">
        <v>471</v>
      </c>
      <c r="G4" s="777" t="s">
        <v>472</v>
      </c>
      <c r="H4" s="824" t="s">
        <v>539</v>
      </c>
      <c r="I4" s="780"/>
      <c r="J4" s="760"/>
      <c r="K4" s="770" t="s">
        <v>473</v>
      </c>
      <c r="L4" s="766"/>
      <c r="M4" s="820"/>
      <c r="N4" s="799"/>
      <c r="O4" s="808"/>
      <c r="P4" s="809"/>
      <c r="Q4" s="809"/>
      <c r="R4" s="810"/>
      <c r="S4" s="787"/>
      <c r="T4" s="788"/>
      <c r="U4" s="788"/>
      <c r="V4" s="788"/>
      <c r="W4" s="789"/>
    </row>
    <row r="5" spans="1:23" ht="43.5" customHeight="1" x14ac:dyDescent="0.25">
      <c r="A5" s="748"/>
      <c r="B5" s="751"/>
      <c r="C5" s="763"/>
      <c r="D5" s="773" t="s">
        <v>474</v>
      </c>
      <c r="E5" s="775" t="s">
        <v>475</v>
      </c>
      <c r="F5" s="803"/>
      <c r="G5" s="777"/>
      <c r="H5" s="777"/>
      <c r="I5" s="780"/>
      <c r="J5" s="760"/>
      <c r="K5" s="771"/>
      <c r="L5" s="766"/>
      <c r="M5" s="820"/>
      <c r="N5" s="799"/>
      <c r="O5" s="471" t="s">
        <v>135</v>
      </c>
      <c r="P5" s="811" t="s">
        <v>633</v>
      </c>
      <c r="Q5" s="812"/>
      <c r="R5" s="813"/>
      <c r="S5" s="486" t="s">
        <v>578</v>
      </c>
      <c r="T5" s="487" t="s">
        <v>579</v>
      </c>
      <c r="U5" s="488" t="s">
        <v>546</v>
      </c>
      <c r="V5" s="489"/>
      <c r="W5" s="489" t="s">
        <v>547</v>
      </c>
    </row>
    <row r="6" spans="1:23" ht="15" customHeight="1" thickBot="1" x14ac:dyDescent="0.3">
      <c r="A6" s="749"/>
      <c r="B6" s="752"/>
      <c r="C6" s="764"/>
      <c r="D6" s="774"/>
      <c r="E6" s="776"/>
      <c r="F6" s="804"/>
      <c r="G6" s="778"/>
      <c r="H6" s="778"/>
      <c r="I6" s="781"/>
      <c r="J6" s="761"/>
      <c r="K6" s="772"/>
      <c r="L6" s="767"/>
      <c r="M6" s="821"/>
      <c r="N6" s="800"/>
      <c r="O6" s="470" t="s">
        <v>637</v>
      </c>
      <c r="P6" s="476" t="s">
        <v>141</v>
      </c>
      <c r="Q6" s="465" t="s">
        <v>142</v>
      </c>
      <c r="R6" s="477" t="s">
        <v>551</v>
      </c>
      <c r="S6" s="787" t="s">
        <v>141</v>
      </c>
      <c r="T6" s="788"/>
      <c r="U6" s="789"/>
      <c r="V6" s="490" t="s">
        <v>552</v>
      </c>
      <c r="W6" s="491" t="s">
        <v>553</v>
      </c>
    </row>
    <row r="7" spans="1:23" ht="15.75" thickBot="1" x14ac:dyDescent="0.3">
      <c r="A7" s="433" t="s">
        <v>476</v>
      </c>
      <c r="B7" s="540"/>
      <c r="C7" s="450">
        <f>C9+C18+C25+C49</f>
        <v>7240514</v>
      </c>
      <c r="D7" s="434">
        <f>D18+D49</f>
        <v>6151239</v>
      </c>
      <c r="E7" s="451">
        <f>E9+E18+E25+E49</f>
        <v>1089275</v>
      </c>
      <c r="F7" s="450">
        <f>F9+F18+F25+F8+F49</f>
        <v>4789018</v>
      </c>
      <c r="G7" s="434">
        <f>G9+G18+G25+G49</f>
        <v>1241835</v>
      </c>
      <c r="H7" s="685">
        <f>H9+H18+H49</f>
        <v>656945</v>
      </c>
      <c r="I7" s="451">
        <f>I9+I18+I49</f>
        <v>1020410</v>
      </c>
      <c r="J7" s="592">
        <f>J9+J18+J25+J49+J8</f>
        <v>14948722</v>
      </c>
      <c r="K7" s="592">
        <f>K9+K18+K25</f>
        <v>10887018</v>
      </c>
      <c r="L7" s="691">
        <f>L9+L18+L25</f>
        <v>3709</v>
      </c>
      <c r="M7" s="451">
        <f>M9+M18+M25+M49</f>
        <v>471593</v>
      </c>
      <c r="N7" s="441">
        <f>N9+N18+N25+N49+N8</f>
        <v>15424024</v>
      </c>
      <c r="O7" s="425">
        <f>O9+O18+O25+O29+O48+O49+O50</f>
        <v>14815285</v>
      </c>
      <c r="P7" s="435">
        <f>P9+P18+P25+P29+P48+P50</f>
        <v>14598606</v>
      </c>
      <c r="Q7" s="436">
        <f>Q9+Q18+Q25+Q29+Q48</f>
        <v>216679</v>
      </c>
      <c r="R7" s="472"/>
      <c r="S7" s="435">
        <f>S9+S18+S25</f>
        <v>611000</v>
      </c>
      <c r="T7" s="436">
        <f>T9+T18+T25</f>
        <v>4800</v>
      </c>
      <c r="U7" s="472">
        <f>U9+U18+U25</f>
        <v>554230</v>
      </c>
      <c r="V7" s="425"/>
      <c r="W7" s="425">
        <f>W9+W18+W25</f>
        <v>56945</v>
      </c>
    </row>
    <row r="8" spans="1:23" ht="15.75" thickBot="1" x14ac:dyDescent="0.3">
      <c r="A8" s="429" t="s">
        <v>477</v>
      </c>
      <c r="B8" s="541" t="s">
        <v>478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92"/>
      <c r="M8" s="617"/>
      <c r="N8" s="442">
        <f>J8</f>
        <v>6000</v>
      </c>
      <c r="O8" s="468"/>
      <c r="P8" s="431"/>
      <c r="Q8" s="432"/>
      <c r="R8" s="478"/>
      <c r="S8" s="492"/>
      <c r="T8" s="493"/>
      <c r="U8" s="494"/>
      <c r="V8" s="495"/>
      <c r="W8" s="495"/>
    </row>
    <row r="9" spans="1:23" ht="15.75" thickBot="1" x14ac:dyDescent="0.3">
      <c r="A9" s="383" t="s">
        <v>479</v>
      </c>
      <c r="B9" s="542" t="s">
        <v>480</v>
      </c>
      <c r="C9" s="452">
        <f>C10+C11+C12+C13+C14+C15+C16+C17</f>
        <v>290993</v>
      </c>
      <c r="D9" s="580"/>
      <c r="E9" s="584">
        <f t="shared" ref="E9:Q9" si="0">E10+E11+E12+E13+E14+E15+E16+E17</f>
        <v>290993</v>
      </c>
      <c r="F9" s="452">
        <f>F10+F11+F12+F13+F14+F15+F16+F17</f>
        <v>2338042</v>
      </c>
      <c r="G9" s="687">
        <f t="shared" si="0"/>
        <v>257000</v>
      </c>
      <c r="H9" s="686">
        <f t="shared" si="0"/>
        <v>211085</v>
      </c>
      <c r="I9" s="453">
        <f t="shared" si="0"/>
        <v>72740</v>
      </c>
      <c r="J9" s="584">
        <f>J10+J11+J12+J13+J14+J15+J16+J17</f>
        <v>3169860</v>
      </c>
      <c r="K9" s="585">
        <f t="shared" si="0"/>
        <v>2338042</v>
      </c>
      <c r="L9" s="585">
        <f>SUM(L10:L17)</f>
        <v>3709</v>
      </c>
      <c r="M9" s="453">
        <f t="shared" si="0"/>
        <v>278698</v>
      </c>
      <c r="N9" s="443">
        <f t="shared" si="0"/>
        <v>3452267</v>
      </c>
      <c r="O9" s="427">
        <f t="shared" si="0"/>
        <v>2276862</v>
      </c>
      <c r="P9" s="384">
        <f t="shared" si="0"/>
        <v>2248470</v>
      </c>
      <c r="Q9" s="385">
        <f t="shared" si="0"/>
        <v>28392</v>
      </c>
      <c r="R9" s="473"/>
      <c r="S9" s="384">
        <f>SUM(S10:S17)</f>
        <v>167000</v>
      </c>
      <c r="T9" s="385">
        <f>SUM(T10:T17)</f>
        <v>0</v>
      </c>
      <c r="U9" s="473">
        <f>SUM(U10:U17)</f>
        <v>199520</v>
      </c>
      <c r="V9" s="427"/>
      <c r="W9" s="427">
        <f>SUM(W10:W17)</f>
        <v>11565</v>
      </c>
    </row>
    <row r="10" spans="1:23" x14ac:dyDescent="0.25">
      <c r="A10" s="387" t="s">
        <v>481</v>
      </c>
      <c r="B10" s="543" t="s">
        <v>482</v>
      </c>
      <c r="C10" s="601">
        <f>E10</f>
        <v>29184</v>
      </c>
      <c r="D10" s="602"/>
      <c r="E10" s="604">
        <f>22005+2854+2161+2164</f>
        <v>29184</v>
      </c>
      <c r="F10" s="654">
        <v>263170</v>
      </c>
      <c r="G10" s="389">
        <v>17200</v>
      </c>
      <c r="H10" s="388">
        <v>24560</v>
      </c>
      <c r="I10" s="388">
        <v>8500</v>
      </c>
      <c r="J10" s="594">
        <f>C10+F10+G10+H10+I10</f>
        <v>342614</v>
      </c>
      <c r="K10" s="603">
        <f>F10</f>
        <v>263170</v>
      </c>
      <c r="L10" s="603"/>
      <c r="M10" s="604">
        <v>239000</v>
      </c>
      <c r="N10" s="389">
        <f t="shared" ref="N10:N17" si="1">J10+M10</f>
        <v>581614</v>
      </c>
      <c r="O10" s="426">
        <f>P10+Q10</f>
        <v>263170</v>
      </c>
      <c r="P10" s="390">
        <f t="shared" ref="P10:P16" si="2">K10</f>
        <v>263170</v>
      </c>
      <c r="Q10" s="395"/>
      <c r="R10" s="605"/>
      <c r="S10" s="390">
        <v>17200</v>
      </c>
      <c r="T10" s="391"/>
      <c r="U10" s="395">
        <v>24100</v>
      </c>
      <c r="V10" s="426"/>
      <c r="W10" s="605">
        <v>460</v>
      </c>
    </row>
    <row r="11" spans="1:23" x14ac:dyDescent="0.25">
      <c r="A11" s="392" t="s">
        <v>483</v>
      </c>
      <c r="B11" s="544" t="s">
        <v>484</v>
      </c>
      <c r="C11" s="606">
        <f t="shared" ref="C11:C17" si="3">E11</f>
        <v>48067</v>
      </c>
      <c r="D11" s="393"/>
      <c r="E11" s="455">
        <f>38728+2854+2161+4324</f>
        <v>48067</v>
      </c>
      <c r="F11" s="655">
        <f>417950-12000</f>
        <v>405950</v>
      </c>
      <c r="G11" s="445">
        <v>47700</v>
      </c>
      <c r="H11" s="393">
        <v>42340</v>
      </c>
      <c r="I11" s="388">
        <v>12350</v>
      </c>
      <c r="J11" s="594">
        <f t="shared" ref="J11:J16" si="4">C11+F11+G11+H11+I11</f>
        <v>556407</v>
      </c>
      <c r="K11" s="586">
        <f t="shared" ref="K11:K17" si="5">F11</f>
        <v>405950</v>
      </c>
      <c r="L11" s="586"/>
      <c r="M11" s="455">
        <f>13392+12000</f>
        <v>25392</v>
      </c>
      <c r="N11" s="389">
        <f t="shared" si="1"/>
        <v>581799</v>
      </c>
      <c r="O11" s="424">
        <f t="shared" ref="O11:O17" si="6">P11+Q11</f>
        <v>431342</v>
      </c>
      <c r="P11" s="394">
        <f>K11</f>
        <v>405950</v>
      </c>
      <c r="Q11" s="395">
        <f>13392+12000</f>
        <v>25392</v>
      </c>
      <c r="R11" s="474"/>
      <c r="S11" s="394">
        <v>35700</v>
      </c>
      <c r="T11" s="395"/>
      <c r="U11" s="395">
        <v>41240</v>
      </c>
      <c r="V11" s="424"/>
      <c r="W11" s="474">
        <v>1100</v>
      </c>
    </row>
    <row r="12" spans="1:23" x14ac:dyDescent="0.25">
      <c r="A12" s="392" t="s">
        <v>485</v>
      </c>
      <c r="B12" s="544" t="s">
        <v>486</v>
      </c>
      <c r="C12" s="606">
        <f t="shared" si="3"/>
        <v>87420</v>
      </c>
      <c r="D12" s="393"/>
      <c r="E12" s="455">
        <f>68742+5708+4322+8648</f>
        <v>87420</v>
      </c>
      <c r="F12" s="655">
        <v>595910</v>
      </c>
      <c r="G12" s="445">
        <v>45600</v>
      </c>
      <c r="H12" s="393">
        <v>55360</v>
      </c>
      <c r="I12" s="388">
        <v>25050</v>
      </c>
      <c r="J12" s="594">
        <f t="shared" si="4"/>
        <v>809340</v>
      </c>
      <c r="K12" s="586">
        <f t="shared" si="5"/>
        <v>595910</v>
      </c>
      <c r="L12" s="586">
        <v>3709</v>
      </c>
      <c r="M12" s="455">
        <v>11306</v>
      </c>
      <c r="N12" s="389">
        <f>J12+M12+L12</f>
        <v>824355</v>
      </c>
      <c r="O12" s="424">
        <f t="shared" si="6"/>
        <v>595910</v>
      </c>
      <c r="P12" s="394">
        <f t="shared" si="2"/>
        <v>595910</v>
      </c>
      <c r="Q12" s="395"/>
      <c r="R12" s="474"/>
      <c r="S12" s="394">
        <v>45600</v>
      </c>
      <c r="T12" s="395"/>
      <c r="U12" s="395">
        <v>53060</v>
      </c>
      <c r="V12" s="424"/>
      <c r="W12" s="474">
        <v>2300</v>
      </c>
    </row>
    <row r="13" spans="1:23" x14ac:dyDescent="0.25">
      <c r="A13" s="392" t="s">
        <v>487</v>
      </c>
      <c r="B13" s="544" t="s">
        <v>488</v>
      </c>
      <c r="C13" s="606">
        <v>0</v>
      </c>
      <c r="D13" s="393"/>
      <c r="E13" s="455">
        <v>0</v>
      </c>
      <c r="F13" s="655">
        <v>0</v>
      </c>
      <c r="G13" s="445">
        <v>0</v>
      </c>
      <c r="H13" s="393">
        <v>0</v>
      </c>
      <c r="I13" s="388"/>
      <c r="J13" s="594">
        <f t="shared" si="4"/>
        <v>0</v>
      </c>
      <c r="K13" s="586">
        <f t="shared" si="5"/>
        <v>0</v>
      </c>
      <c r="L13" s="586"/>
      <c r="M13" s="455"/>
      <c r="N13" s="389">
        <f t="shared" si="1"/>
        <v>0</v>
      </c>
      <c r="O13" s="607">
        <f t="shared" si="6"/>
        <v>0</v>
      </c>
      <c r="P13" s="394">
        <f t="shared" si="2"/>
        <v>0</v>
      </c>
      <c r="Q13" s="395"/>
      <c r="R13" s="474"/>
      <c r="S13" s="394"/>
      <c r="T13" s="395"/>
      <c r="U13" s="395"/>
      <c r="V13" s="424"/>
      <c r="W13" s="474"/>
    </row>
    <row r="14" spans="1:23" x14ac:dyDescent="0.25">
      <c r="A14" s="392" t="s">
        <v>489</v>
      </c>
      <c r="B14" s="544" t="s">
        <v>490</v>
      </c>
      <c r="C14" s="606">
        <f t="shared" si="3"/>
        <v>34862</v>
      </c>
      <c r="D14" s="393"/>
      <c r="E14" s="455">
        <f>29847+2854+2161</f>
        <v>34862</v>
      </c>
      <c r="F14" s="655">
        <v>316410</v>
      </c>
      <c r="G14" s="445">
        <v>22800</v>
      </c>
      <c r="H14" s="393">
        <v>31710</v>
      </c>
      <c r="I14" s="388">
        <v>7770</v>
      </c>
      <c r="J14" s="594">
        <f t="shared" si="4"/>
        <v>413552</v>
      </c>
      <c r="K14" s="586">
        <f t="shared" si="5"/>
        <v>316410</v>
      </c>
      <c r="L14" s="586"/>
      <c r="M14" s="455"/>
      <c r="N14" s="389">
        <f t="shared" si="1"/>
        <v>413552</v>
      </c>
      <c r="O14" s="424">
        <f t="shared" si="6"/>
        <v>316410</v>
      </c>
      <c r="P14" s="394">
        <f t="shared" si="2"/>
        <v>316410</v>
      </c>
      <c r="Q14" s="395"/>
      <c r="R14" s="474"/>
      <c r="S14" s="394">
        <v>22800</v>
      </c>
      <c r="T14" s="395"/>
      <c r="U14" s="395">
        <v>28820</v>
      </c>
      <c r="V14" s="424"/>
      <c r="W14" s="474">
        <v>2890</v>
      </c>
    </row>
    <row r="15" spans="1:23" x14ac:dyDescent="0.25">
      <c r="A15" s="392" t="s">
        <v>491</v>
      </c>
      <c r="B15" s="544" t="s">
        <v>492</v>
      </c>
      <c r="C15" s="606">
        <f t="shared" si="3"/>
        <v>40659</v>
      </c>
      <c r="D15" s="393"/>
      <c r="E15" s="455">
        <f>24919+11416+4324</f>
        <v>40659</v>
      </c>
      <c r="F15" s="655">
        <v>330150</v>
      </c>
      <c r="G15" s="445">
        <v>102500</v>
      </c>
      <c r="H15" s="393">
        <v>30615</v>
      </c>
      <c r="I15" s="388">
        <v>8470</v>
      </c>
      <c r="J15" s="594">
        <f t="shared" si="4"/>
        <v>512394</v>
      </c>
      <c r="K15" s="586">
        <f t="shared" si="5"/>
        <v>330150</v>
      </c>
      <c r="L15" s="586"/>
      <c r="M15" s="455">
        <v>3000</v>
      </c>
      <c r="N15" s="389">
        <f t="shared" si="1"/>
        <v>515394</v>
      </c>
      <c r="O15" s="424">
        <f t="shared" si="6"/>
        <v>333150</v>
      </c>
      <c r="P15" s="394">
        <f t="shared" si="2"/>
        <v>330150</v>
      </c>
      <c r="Q15" s="395">
        <v>3000</v>
      </c>
      <c r="R15" s="474"/>
      <c r="S15" s="394">
        <v>24500</v>
      </c>
      <c r="T15" s="395"/>
      <c r="U15" s="395">
        <v>27960</v>
      </c>
      <c r="V15" s="424"/>
      <c r="W15" s="474">
        <v>2655</v>
      </c>
    </row>
    <row r="16" spans="1:23" x14ac:dyDescent="0.25">
      <c r="A16" s="396" t="s">
        <v>493</v>
      </c>
      <c r="B16" s="545" t="s">
        <v>494</v>
      </c>
      <c r="C16" s="608">
        <f t="shared" si="3"/>
        <v>50801</v>
      </c>
      <c r="D16" s="397"/>
      <c r="E16" s="460">
        <f>29934+4350+5708+2161+8648</f>
        <v>50801</v>
      </c>
      <c r="F16" s="656">
        <v>336880</v>
      </c>
      <c r="G16" s="447">
        <v>21200</v>
      </c>
      <c r="H16" s="397">
        <v>26500</v>
      </c>
      <c r="I16" s="393">
        <v>10600</v>
      </c>
      <c r="J16" s="594">
        <f t="shared" si="4"/>
        <v>445981</v>
      </c>
      <c r="K16" s="587">
        <f>F16</f>
        <v>336880</v>
      </c>
      <c r="L16" s="587"/>
      <c r="M16" s="455"/>
      <c r="N16" s="389">
        <f t="shared" si="1"/>
        <v>445981</v>
      </c>
      <c r="O16" s="424">
        <f t="shared" si="6"/>
        <v>336880</v>
      </c>
      <c r="P16" s="394">
        <f t="shared" si="2"/>
        <v>336880</v>
      </c>
      <c r="Q16" s="395"/>
      <c r="R16" s="474"/>
      <c r="S16" s="394">
        <v>21200</v>
      </c>
      <c r="T16" s="395"/>
      <c r="U16" s="395">
        <v>24340</v>
      </c>
      <c r="V16" s="424"/>
      <c r="W16" s="474">
        <v>2160</v>
      </c>
    </row>
    <row r="17" spans="1:27" ht="15.75" thickBot="1" x14ac:dyDescent="0.3">
      <c r="A17" s="396" t="s">
        <v>495</v>
      </c>
      <c r="B17" s="545" t="s">
        <v>496</v>
      </c>
      <c r="C17" s="575">
        <f t="shared" si="3"/>
        <v>0</v>
      </c>
      <c r="D17" s="576"/>
      <c r="E17" s="457">
        <v>0</v>
      </c>
      <c r="F17" s="656">
        <f>82200+7372</f>
        <v>89572</v>
      </c>
      <c r="G17" s="397">
        <v>0</v>
      </c>
      <c r="H17" s="656"/>
      <c r="I17" s="657"/>
      <c r="J17" s="594">
        <f>C17+F17+G17+H17</f>
        <v>89572</v>
      </c>
      <c r="K17" s="588">
        <f t="shared" si="5"/>
        <v>89572</v>
      </c>
      <c r="L17" s="588"/>
      <c r="M17" s="457"/>
      <c r="N17" s="389">
        <f t="shared" si="1"/>
        <v>89572</v>
      </c>
      <c r="O17" s="428">
        <f t="shared" si="6"/>
        <v>0</v>
      </c>
      <c r="P17" s="381"/>
      <c r="Q17" s="382"/>
      <c r="R17" s="475"/>
      <c r="S17" s="496"/>
      <c r="T17" s="497"/>
      <c r="U17" s="498"/>
      <c r="V17" s="499"/>
      <c r="W17" s="499"/>
    </row>
    <row r="18" spans="1:27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6886293</v>
      </c>
      <c r="D18" s="385">
        <f t="shared" si="7"/>
        <v>6104000</v>
      </c>
      <c r="E18" s="386">
        <f t="shared" si="7"/>
        <v>782293</v>
      </c>
      <c r="F18" s="384">
        <f t="shared" si="7"/>
        <v>1355958</v>
      </c>
      <c r="G18" s="385">
        <f t="shared" si="7"/>
        <v>777835</v>
      </c>
      <c r="H18" s="688">
        <f t="shared" si="7"/>
        <v>400090</v>
      </c>
      <c r="I18" s="386">
        <f t="shared" si="7"/>
        <v>854020</v>
      </c>
      <c r="J18" s="427">
        <f>J19+J20+J21+J22+J23+J24</f>
        <v>10274196</v>
      </c>
      <c r="K18" s="473">
        <f t="shared" si="7"/>
        <v>7459958</v>
      </c>
      <c r="L18" s="473">
        <f>SUM(L19:L24)</f>
        <v>0</v>
      </c>
      <c r="M18" s="386">
        <f>M19+M20+M21+M22+M23+M24</f>
        <v>188287</v>
      </c>
      <c r="N18" s="444">
        <f>N19+N20+N21+N22+N23+N24</f>
        <v>10462483</v>
      </c>
      <c r="O18" s="427">
        <f>O19+O20+O21+O22+O23+O24</f>
        <v>7620940</v>
      </c>
      <c r="P18" s="384">
        <f>P19+P20+P21+P22+P23+P24</f>
        <v>7459958</v>
      </c>
      <c r="Q18" s="385">
        <f>Q19+Q20+Q21+Q22+Q23+Q24</f>
        <v>160982</v>
      </c>
      <c r="R18" s="473"/>
      <c r="S18" s="384">
        <f>SUM(S19:S24)</f>
        <v>292000</v>
      </c>
      <c r="T18" s="385">
        <f>SUM(T19:T24)</f>
        <v>4800</v>
      </c>
      <c r="U18" s="473">
        <f>SUM(U19:U24)</f>
        <v>354710</v>
      </c>
      <c r="V18" s="427"/>
      <c r="W18" s="427">
        <f>SUM(W19:W24)</f>
        <v>45380</v>
      </c>
    </row>
    <row r="19" spans="1:27" x14ac:dyDescent="0.25">
      <c r="A19" s="387" t="s">
        <v>499</v>
      </c>
      <c r="B19" s="543" t="s">
        <v>500</v>
      </c>
      <c r="C19" s="609">
        <f t="shared" ref="C19:C24" si="8">D19+E19</f>
        <v>571005</v>
      </c>
      <c r="D19" s="602">
        <v>479220</v>
      </c>
      <c r="E19" s="658">
        <f>67567+176+17124+4754+2164</f>
        <v>91785</v>
      </c>
      <c r="F19" s="458">
        <v>283000</v>
      </c>
      <c r="G19" s="659">
        <v>73600</v>
      </c>
      <c r="H19" s="388">
        <v>39130</v>
      </c>
      <c r="I19" s="388">
        <v>52650</v>
      </c>
      <c r="J19" s="594">
        <f t="shared" ref="J19:J24" si="9">C19+F19+G19+H19+I19</f>
        <v>1019385</v>
      </c>
      <c r="K19" s="589">
        <f t="shared" ref="K19:K24" si="10">D19+F19</f>
        <v>762220</v>
      </c>
      <c r="L19" s="589"/>
      <c r="M19" s="459">
        <v>80000</v>
      </c>
      <c r="N19" s="389">
        <f t="shared" ref="N19:N24" si="11">J19+M19</f>
        <v>1099385</v>
      </c>
      <c r="O19" s="426">
        <f t="shared" ref="O19:O24" si="12">P19+Q19</f>
        <v>842220</v>
      </c>
      <c r="P19" s="390">
        <f t="shared" ref="P19:P24" si="13">K19</f>
        <v>762220</v>
      </c>
      <c r="Q19" s="391">
        <v>80000</v>
      </c>
      <c r="R19" s="605"/>
      <c r="S19" s="390">
        <v>23600</v>
      </c>
      <c r="T19" s="391"/>
      <c r="U19" s="395">
        <f>40900-4900</f>
        <v>36000</v>
      </c>
      <c r="V19" s="426"/>
      <c r="W19" s="474">
        <v>3130</v>
      </c>
    </row>
    <row r="20" spans="1:27" x14ac:dyDescent="0.25">
      <c r="A20" s="392" t="s">
        <v>501</v>
      </c>
      <c r="B20" s="544" t="s">
        <v>502</v>
      </c>
      <c r="C20" s="454">
        <f t="shared" si="8"/>
        <v>1102538</v>
      </c>
      <c r="D20" s="393">
        <v>1015820</v>
      </c>
      <c r="E20" s="660">
        <f>66414+244+11416+8644</f>
        <v>86718</v>
      </c>
      <c r="F20" s="454">
        <v>151400</v>
      </c>
      <c r="G20" s="660">
        <v>62600</v>
      </c>
      <c r="H20" s="393">
        <v>56105</v>
      </c>
      <c r="I20" s="388">
        <v>136070</v>
      </c>
      <c r="J20" s="594">
        <f t="shared" si="9"/>
        <v>1508713</v>
      </c>
      <c r="K20" s="586">
        <f t="shared" si="10"/>
        <v>1167220</v>
      </c>
      <c r="L20" s="586"/>
      <c r="M20" s="455">
        <v>14600</v>
      </c>
      <c r="N20" s="389">
        <f t="shared" si="11"/>
        <v>1523313</v>
      </c>
      <c r="O20" s="424">
        <f t="shared" si="12"/>
        <v>1167220</v>
      </c>
      <c r="P20" s="394">
        <f t="shared" si="13"/>
        <v>1167220</v>
      </c>
      <c r="Q20" s="391"/>
      <c r="R20" s="605"/>
      <c r="S20" s="394">
        <v>37200</v>
      </c>
      <c r="T20" s="395"/>
      <c r="U20" s="395">
        <v>46900</v>
      </c>
      <c r="V20" s="424"/>
      <c r="W20" s="474">
        <v>9205</v>
      </c>
    </row>
    <row r="21" spans="1:27" x14ac:dyDescent="0.25">
      <c r="A21" s="392" t="s">
        <v>503</v>
      </c>
      <c r="B21" s="544" t="s">
        <v>504</v>
      </c>
      <c r="C21" s="454">
        <f t="shared" si="8"/>
        <v>1739572</v>
      </c>
      <c r="D21" s="393">
        <v>1547680</v>
      </c>
      <c r="E21" s="660">
        <f>145179-419+42810+4322</f>
        <v>191892</v>
      </c>
      <c r="F21" s="454">
        <v>372000</v>
      </c>
      <c r="G21" s="660">
        <f>211100+2340-4299-6333</f>
        <v>202808</v>
      </c>
      <c r="H21" s="393">
        <v>152425</v>
      </c>
      <c r="I21" s="388">
        <v>240000</v>
      </c>
      <c r="J21" s="594">
        <f t="shared" si="9"/>
        <v>2706805</v>
      </c>
      <c r="K21" s="586">
        <f t="shared" si="10"/>
        <v>1919680</v>
      </c>
      <c r="L21" s="586"/>
      <c r="M21" s="455">
        <f>4299+6333</f>
        <v>10632</v>
      </c>
      <c r="N21" s="389">
        <f t="shared" si="11"/>
        <v>2717437</v>
      </c>
      <c r="O21" s="424">
        <f t="shared" si="12"/>
        <v>1919680</v>
      </c>
      <c r="P21" s="394">
        <f t="shared" si="13"/>
        <v>1919680</v>
      </c>
      <c r="Q21" s="391"/>
      <c r="R21" s="605"/>
      <c r="S21" s="394">
        <v>86100</v>
      </c>
      <c r="T21" s="395"/>
      <c r="U21" s="395">
        <f>186000-56000</f>
        <v>130000</v>
      </c>
      <c r="V21" s="424"/>
      <c r="W21" s="474">
        <v>22425</v>
      </c>
    </row>
    <row r="22" spans="1:27" x14ac:dyDescent="0.25">
      <c r="A22" s="392" t="s">
        <v>505</v>
      </c>
      <c r="B22" s="544" t="s">
        <v>506</v>
      </c>
      <c r="C22" s="454">
        <f t="shared" si="8"/>
        <v>1530460</v>
      </c>
      <c r="D22" s="393">
        <v>1338520</v>
      </c>
      <c r="E22" s="660">
        <f>138046+358+51372+2164</f>
        <v>191940</v>
      </c>
      <c r="F22" s="454">
        <v>234450</v>
      </c>
      <c r="G22" s="660">
        <f>246300-2073</f>
        <v>244227</v>
      </c>
      <c r="H22" s="393">
        <v>66480</v>
      </c>
      <c r="I22" s="388">
        <v>212650</v>
      </c>
      <c r="J22" s="594">
        <f t="shared" si="9"/>
        <v>2288267</v>
      </c>
      <c r="K22" s="586">
        <f t="shared" si="10"/>
        <v>1572970</v>
      </c>
      <c r="L22" s="586"/>
      <c r="M22" s="455">
        <v>2073</v>
      </c>
      <c r="N22" s="389">
        <f t="shared" si="11"/>
        <v>2290340</v>
      </c>
      <c r="O22" s="424">
        <f t="shared" si="12"/>
        <v>1572970</v>
      </c>
      <c r="P22" s="394">
        <f t="shared" si="13"/>
        <v>1572970</v>
      </c>
      <c r="Q22" s="391"/>
      <c r="R22" s="605"/>
      <c r="S22" s="394">
        <v>91500</v>
      </c>
      <c r="T22" s="395">
        <v>4800</v>
      </c>
      <c r="U22" s="395">
        <v>61780</v>
      </c>
      <c r="V22" s="424"/>
      <c r="W22" s="474">
        <v>4700</v>
      </c>
    </row>
    <row r="23" spans="1:27" x14ac:dyDescent="0.25">
      <c r="A23" s="392" t="s">
        <v>507</v>
      </c>
      <c r="B23" s="544" t="s">
        <v>508</v>
      </c>
      <c r="C23" s="454">
        <f t="shared" si="8"/>
        <v>1273708</v>
      </c>
      <c r="D23" s="393">
        <v>1119320</v>
      </c>
      <c r="E23" s="660">
        <f>124899+949+28540</f>
        <v>154388</v>
      </c>
      <c r="F23" s="454">
        <f>199120-4982</f>
        <v>194138</v>
      </c>
      <c r="G23" s="660">
        <v>159600</v>
      </c>
      <c r="H23" s="393">
        <v>85950</v>
      </c>
      <c r="I23" s="388">
        <v>157850</v>
      </c>
      <c r="J23" s="594">
        <f t="shared" si="9"/>
        <v>1871246</v>
      </c>
      <c r="K23" s="586">
        <f t="shared" si="10"/>
        <v>1313458</v>
      </c>
      <c r="L23" s="586"/>
      <c r="M23" s="455">
        <f>76000+4982</f>
        <v>80982</v>
      </c>
      <c r="N23" s="389">
        <f t="shared" si="11"/>
        <v>1952228</v>
      </c>
      <c r="O23" s="424">
        <f t="shared" si="12"/>
        <v>1394440</v>
      </c>
      <c r="P23" s="394">
        <f t="shared" si="13"/>
        <v>1313458</v>
      </c>
      <c r="Q23" s="395">
        <f>M23</f>
        <v>80982</v>
      </c>
      <c r="R23" s="474"/>
      <c r="S23" s="394">
        <v>38600</v>
      </c>
      <c r="T23" s="395"/>
      <c r="U23" s="395">
        <v>80030</v>
      </c>
      <c r="V23" s="424"/>
      <c r="W23" s="474">
        <v>5920</v>
      </c>
      <c r="AA23" s="1"/>
    </row>
    <row r="24" spans="1:27" ht="15.75" thickBot="1" x14ac:dyDescent="0.3">
      <c r="A24" s="396" t="s">
        <v>509</v>
      </c>
      <c r="B24" s="545" t="s">
        <v>510</v>
      </c>
      <c r="C24" s="610">
        <f t="shared" si="8"/>
        <v>669010</v>
      </c>
      <c r="D24" s="576">
        <v>603440</v>
      </c>
      <c r="E24" s="661">
        <f>49911-79+11416+4322</f>
        <v>65570</v>
      </c>
      <c r="F24" s="610">
        <v>120970</v>
      </c>
      <c r="G24" s="661">
        <v>35000</v>
      </c>
      <c r="H24" s="397"/>
      <c r="I24" s="662">
        <v>54800</v>
      </c>
      <c r="J24" s="594">
        <f t="shared" si="9"/>
        <v>879780</v>
      </c>
      <c r="K24" s="587">
        <f t="shared" si="10"/>
        <v>724410</v>
      </c>
      <c r="L24" s="587"/>
      <c r="M24" s="460"/>
      <c r="N24" s="389">
        <f t="shared" si="11"/>
        <v>879780</v>
      </c>
      <c r="O24" s="428">
        <f t="shared" si="12"/>
        <v>724410</v>
      </c>
      <c r="P24" s="381">
        <f t="shared" si="13"/>
        <v>724410</v>
      </c>
      <c r="Q24" s="382"/>
      <c r="R24" s="475"/>
      <c r="S24" s="394">
        <v>15000</v>
      </c>
      <c r="T24" s="395"/>
      <c r="U24" s="395"/>
      <c r="V24" s="468"/>
      <c r="W24" s="426"/>
    </row>
    <row r="25" spans="1:27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1089018</v>
      </c>
      <c r="G25" s="385">
        <f>G26+G27</f>
        <v>152000</v>
      </c>
      <c r="H25" s="688"/>
      <c r="I25" s="386"/>
      <c r="J25" s="427">
        <f>J26+J27+J28</f>
        <v>1244192</v>
      </c>
      <c r="K25" s="473">
        <f>K26+K27</f>
        <v>1089018</v>
      </c>
      <c r="L25" s="473">
        <f>SUM(L26:L28)</f>
        <v>0</v>
      </c>
      <c r="M25" s="386">
        <f>M26+M27</f>
        <v>0</v>
      </c>
      <c r="N25" s="444">
        <f>N26+N27+N28</f>
        <v>1244192</v>
      </c>
      <c r="O25" s="427">
        <f>O26+O27</f>
        <v>1089018</v>
      </c>
      <c r="P25" s="384">
        <f>P26+P27</f>
        <v>1089018</v>
      </c>
      <c r="Q25" s="385">
        <f>Q26+Q27</f>
        <v>0</v>
      </c>
      <c r="R25" s="473"/>
      <c r="S25" s="384">
        <f>SUM(S26:S28)</f>
        <v>152000</v>
      </c>
      <c r="T25" s="385">
        <f>SUM(T26:T28)</f>
        <v>0</v>
      </c>
      <c r="U25" s="473">
        <f>SUM(U26:U28)</f>
        <v>0</v>
      </c>
      <c r="V25" s="437"/>
      <c r="W25" s="437">
        <f>SUM(W26:W28)</f>
        <v>0</v>
      </c>
    </row>
    <row r="26" spans="1:27" x14ac:dyDescent="0.25">
      <c r="A26" s="387" t="s">
        <v>513</v>
      </c>
      <c r="B26" s="543" t="s">
        <v>514</v>
      </c>
      <c r="C26" s="609"/>
      <c r="D26" s="602"/>
      <c r="E26" s="604">
        <v>0</v>
      </c>
      <c r="F26" s="609">
        <f>773020-7372</f>
        <v>765648</v>
      </c>
      <c r="G26" s="602">
        <v>80000</v>
      </c>
      <c r="H26" s="654"/>
      <c r="I26" s="459"/>
      <c r="J26" s="594">
        <f>F26+G26</f>
        <v>845648</v>
      </c>
      <c r="K26" s="589">
        <f>F26</f>
        <v>765648</v>
      </c>
      <c r="L26" s="589"/>
      <c r="M26" s="459">
        <v>0</v>
      </c>
      <c r="N26" s="389">
        <f>J26+M26</f>
        <v>845648</v>
      </c>
      <c r="O26" s="426">
        <f>P26+Q26</f>
        <v>765648</v>
      </c>
      <c r="P26" s="390">
        <f>F26</f>
        <v>765648</v>
      </c>
      <c r="Q26" s="391"/>
      <c r="R26" s="605"/>
      <c r="S26" s="390">
        <v>80000</v>
      </c>
      <c r="T26" s="611"/>
      <c r="U26" s="612"/>
      <c r="V26" s="600"/>
      <c r="W26" s="613"/>
    </row>
    <row r="27" spans="1:27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5">
        <f>C27+F27+G27</f>
        <v>398474</v>
      </c>
      <c r="K27" s="586">
        <f>F27</f>
        <v>323370</v>
      </c>
      <c r="L27" s="586"/>
      <c r="M27" s="455"/>
      <c r="N27" s="445">
        <f>J27+M27</f>
        <v>398474</v>
      </c>
      <c r="O27" s="424">
        <f>P27+Q27</f>
        <v>323370</v>
      </c>
      <c r="P27" s="390">
        <f>F27</f>
        <v>323370</v>
      </c>
      <c r="Q27" s="395"/>
      <c r="R27" s="474"/>
      <c r="S27" s="394">
        <v>72000</v>
      </c>
      <c r="T27" s="395"/>
      <c r="U27" s="500"/>
      <c r="V27" s="501"/>
      <c r="W27" s="502"/>
    </row>
    <row r="28" spans="1:27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3"/>
      <c r="G28" s="689"/>
      <c r="H28" s="654"/>
      <c r="I28" s="459"/>
      <c r="J28" s="594">
        <f>C28+F28+G28</f>
        <v>70</v>
      </c>
      <c r="K28" s="589"/>
      <c r="L28" s="589"/>
      <c r="M28" s="459"/>
      <c r="N28" s="389">
        <f>J28+M28</f>
        <v>70</v>
      </c>
      <c r="O28" s="426"/>
      <c r="P28" s="390"/>
      <c r="Q28" s="391"/>
      <c r="R28" s="478"/>
      <c r="S28" s="503"/>
      <c r="T28" s="504"/>
      <c r="U28" s="505"/>
      <c r="V28" s="506"/>
      <c r="W28" s="507"/>
    </row>
    <row r="29" spans="1:27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E30+E31+E32+E33+E34+E37+E38+E39+E40+E41+E42+E46+E47+E35+E36+E45+E44+E43</f>
        <v>1076460</v>
      </c>
      <c r="F29" s="461"/>
      <c r="G29" s="401"/>
      <c r="H29" s="664"/>
      <c r="I29" s="462"/>
      <c r="J29" s="449"/>
      <c r="K29" s="483"/>
      <c r="L29" s="483"/>
      <c r="M29" s="462"/>
      <c r="N29" s="446"/>
      <c r="O29" s="427">
        <f>O30+O31+O32+O33+O34+O37+O38+O39+O40+O41+O42+O46+O47+O35+O36+O43+O44+O45</f>
        <v>1076390</v>
      </c>
      <c r="P29" s="384">
        <f>P30+P31+P32+P33+P34+P37+P38+P39+P40+P41+P42+P46+P47+P35+P36+P45+P44+P43</f>
        <v>1076390</v>
      </c>
      <c r="Q29" s="402"/>
      <c r="R29" s="479"/>
      <c r="S29" s="508"/>
      <c r="T29" s="509"/>
      <c r="U29" s="510"/>
      <c r="V29" s="511"/>
      <c r="W29" s="495"/>
    </row>
    <row r="30" spans="1:27" x14ac:dyDescent="0.25">
      <c r="A30" s="403"/>
      <c r="B30" s="549" t="s">
        <v>520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589"/>
      <c r="M30" s="459"/>
      <c r="N30" s="389"/>
      <c r="O30" s="469">
        <f t="shared" ref="O30:O48" si="14">SUM(P30:Q30)</f>
        <v>49370</v>
      </c>
      <c r="P30" s="404">
        <f t="shared" ref="P30:P37" si="15">E30</f>
        <v>49370</v>
      </c>
      <c r="Q30" s="391"/>
      <c r="R30" s="478"/>
      <c r="S30" s="492"/>
      <c r="T30" s="493"/>
      <c r="U30" s="512"/>
      <c r="V30" s="513"/>
      <c r="W30" s="513"/>
    </row>
    <row r="31" spans="1:27" x14ac:dyDescent="0.25">
      <c r="A31" s="405"/>
      <c r="B31" s="550" t="s">
        <v>521</v>
      </c>
      <c r="C31" s="454"/>
      <c r="D31" s="393"/>
      <c r="E31" s="577">
        <v>216850</v>
      </c>
      <c r="F31" s="454"/>
      <c r="G31" s="393"/>
      <c r="H31" s="393"/>
      <c r="I31" s="455"/>
      <c r="J31" s="595"/>
      <c r="K31" s="586"/>
      <c r="L31" s="586"/>
      <c r="M31" s="455"/>
      <c r="N31" s="445"/>
      <c r="O31" s="469">
        <f t="shared" si="14"/>
        <v>216850</v>
      </c>
      <c r="P31" s="404">
        <f t="shared" si="15"/>
        <v>216850</v>
      </c>
      <c r="Q31" s="395"/>
      <c r="R31" s="478"/>
      <c r="S31" s="492"/>
      <c r="T31" s="493"/>
      <c r="U31" s="514"/>
      <c r="V31" s="515"/>
      <c r="W31" s="515"/>
    </row>
    <row r="32" spans="1:27" x14ac:dyDescent="0.25">
      <c r="A32" s="405"/>
      <c r="B32" s="550" t="s">
        <v>522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586"/>
      <c r="M32" s="455"/>
      <c r="N32" s="445"/>
      <c r="O32" s="469">
        <f t="shared" si="14"/>
        <v>42304</v>
      </c>
      <c r="P32" s="404">
        <f t="shared" si="15"/>
        <v>42304</v>
      </c>
      <c r="Q32" s="395"/>
      <c r="R32" s="478"/>
      <c r="S32" s="492"/>
      <c r="T32" s="493"/>
      <c r="U32" s="514"/>
      <c r="V32" s="515"/>
      <c r="W32" s="515"/>
    </row>
    <row r="33" spans="1:23" x14ac:dyDescent="0.25">
      <c r="A33" s="405"/>
      <c r="B33" s="550" t="s">
        <v>523</v>
      </c>
      <c r="C33" s="454"/>
      <c r="D33" s="393"/>
      <c r="E33" s="577">
        <v>7151</v>
      </c>
      <c r="F33" s="454"/>
      <c r="G33" s="393"/>
      <c r="H33" s="393"/>
      <c r="I33" s="455"/>
      <c r="J33" s="595"/>
      <c r="K33" s="586"/>
      <c r="L33" s="586"/>
      <c r="M33" s="455"/>
      <c r="N33" s="445"/>
      <c r="O33" s="469">
        <f t="shared" si="14"/>
        <v>7151</v>
      </c>
      <c r="P33" s="404">
        <f t="shared" si="15"/>
        <v>7151</v>
      </c>
      <c r="Q33" s="395"/>
      <c r="R33" s="478"/>
      <c r="S33" s="492"/>
      <c r="T33" s="493"/>
      <c r="U33" s="514"/>
      <c r="V33" s="515"/>
      <c r="W33" s="515"/>
    </row>
    <row r="34" spans="1:23" x14ac:dyDescent="0.25">
      <c r="A34" s="405"/>
      <c r="B34" s="550" t="s">
        <v>587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586"/>
      <c r="M34" s="455"/>
      <c r="N34" s="445"/>
      <c r="O34" s="469">
        <f t="shared" si="14"/>
        <v>0</v>
      </c>
      <c r="P34" s="404">
        <f t="shared" si="15"/>
        <v>0</v>
      </c>
      <c r="Q34" s="395"/>
      <c r="R34" s="478"/>
      <c r="S34" s="492"/>
      <c r="T34" s="493"/>
      <c r="U34" s="514"/>
      <c r="V34" s="515"/>
      <c r="W34" s="515"/>
    </row>
    <row r="35" spans="1:23" x14ac:dyDescent="0.25">
      <c r="A35" s="405"/>
      <c r="B35" s="550" t="s">
        <v>636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586"/>
      <c r="M35" s="455"/>
      <c r="N35" s="445"/>
      <c r="O35" s="469">
        <f t="shared" si="14"/>
        <v>0</v>
      </c>
      <c r="P35" s="404">
        <f t="shared" si="15"/>
        <v>0</v>
      </c>
      <c r="Q35" s="395"/>
      <c r="R35" s="478"/>
      <c r="S35" s="492"/>
      <c r="T35" s="493"/>
      <c r="U35" s="514"/>
      <c r="V35" s="515"/>
      <c r="W35" s="515"/>
    </row>
    <row r="36" spans="1:23" x14ac:dyDescent="0.25">
      <c r="A36" s="405"/>
      <c r="B36" s="550" t="s">
        <v>612</v>
      </c>
      <c r="C36" s="454"/>
      <c r="D36" s="393"/>
      <c r="E36" s="577">
        <v>9000</v>
      </c>
      <c r="F36" s="454"/>
      <c r="G36" s="393"/>
      <c r="H36" s="393"/>
      <c r="I36" s="455"/>
      <c r="J36" s="595"/>
      <c r="K36" s="586"/>
      <c r="L36" s="586"/>
      <c r="M36" s="455"/>
      <c r="N36" s="445"/>
      <c r="O36" s="469">
        <f t="shared" si="14"/>
        <v>9000</v>
      </c>
      <c r="P36" s="404">
        <f t="shared" si="15"/>
        <v>9000</v>
      </c>
      <c r="Q36" s="395"/>
      <c r="R36" s="478"/>
      <c r="S36" s="492"/>
      <c r="T36" s="493"/>
      <c r="U36" s="514"/>
      <c r="V36" s="515"/>
      <c r="W36" s="515"/>
    </row>
    <row r="37" spans="1:23" x14ac:dyDescent="0.25">
      <c r="A37" s="405"/>
      <c r="B37" s="550" t="s">
        <v>613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586"/>
      <c r="M37" s="455"/>
      <c r="N37" s="445"/>
      <c r="O37" s="469">
        <f t="shared" si="14"/>
        <v>38580</v>
      </c>
      <c r="P37" s="404">
        <f t="shared" si="15"/>
        <v>38580</v>
      </c>
      <c r="Q37" s="395"/>
      <c r="R37" s="478"/>
      <c r="S37" s="492"/>
      <c r="T37" s="493"/>
      <c r="U37" s="514"/>
      <c r="V37" s="515"/>
      <c r="W37" s="515"/>
    </row>
    <row r="38" spans="1:23" x14ac:dyDescent="0.25">
      <c r="A38" s="405"/>
      <c r="B38" s="550" t="s">
        <v>524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586"/>
      <c r="M38" s="455"/>
      <c r="N38" s="445"/>
      <c r="O38" s="469">
        <f t="shared" si="14"/>
        <v>1290</v>
      </c>
      <c r="P38" s="404">
        <f>E38-E28</f>
        <v>1290</v>
      </c>
      <c r="Q38" s="395"/>
      <c r="R38" s="478"/>
      <c r="S38" s="492"/>
      <c r="T38" s="493"/>
      <c r="U38" s="514"/>
      <c r="V38" s="515"/>
      <c r="W38" s="515"/>
    </row>
    <row r="39" spans="1:23" x14ac:dyDescent="0.25">
      <c r="A39" s="405"/>
      <c r="B39" s="550" t="s">
        <v>525</v>
      </c>
      <c r="C39" s="454"/>
      <c r="D39" s="393"/>
      <c r="E39" s="577">
        <v>154116</v>
      </c>
      <c r="F39" s="454"/>
      <c r="G39" s="393"/>
      <c r="H39" s="393"/>
      <c r="I39" s="455"/>
      <c r="J39" s="595"/>
      <c r="K39" s="586"/>
      <c r="L39" s="586"/>
      <c r="M39" s="455"/>
      <c r="N39" s="445"/>
      <c r="O39" s="469">
        <f t="shared" si="14"/>
        <v>154116</v>
      </c>
      <c r="P39" s="404">
        <f t="shared" ref="P39:P47" si="16">E39</f>
        <v>154116</v>
      </c>
      <c r="Q39" s="395"/>
      <c r="R39" s="478"/>
      <c r="S39" s="492"/>
      <c r="T39" s="493"/>
      <c r="U39" s="514"/>
      <c r="V39" s="515"/>
      <c r="W39" s="515"/>
    </row>
    <row r="40" spans="1:23" x14ac:dyDescent="0.25">
      <c r="A40" s="405"/>
      <c r="B40" s="550" t="s">
        <v>526</v>
      </c>
      <c r="C40" s="454"/>
      <c r="D40" s="393"/>
      <c r="E40" s="577">
        <v>17600</v>
      </c>
      <c r="F40" s="454"/>
      <c r="G40" s="393"/>
      <c r="H40" s="393"/>
      <c r="I40" s="455"/>
      <c r="J40" s="595"/>
      <c r="K40" s="586"/>
      <c r="L40" s="586"/>
      <c r="M40" s="455"/>
      <c r="N40" s="445"/>
      <c r="O40" s="469">
        <f t="shared" si="14"/>
        <v>17600</v>
      </c>
      <c r="P40" s="404">
        <f t="shared" si="16"/>
        <v>17600</v>
      </c>
      <c r="Q40" s="395"/>
      <c r="R40" s="478"/>
      <c r="S40" s="492"/>
      <c r="T40" s="493"/>
      <c r="U40" s="514"/>
      <c r="V40" s="515"/>
      <c r="W40" s="515"/>
    </row>
    <row r="41" spans="1:23" x14ac:dyDescent="0.25">
      <c r="A41" s="405"/>
      <c r="B41" s="550" t="s">
        <v>605</v>
      </c>
      <c r="C41" s="454"/>
      <c r="D41" s="393"/>
      <c r="E41" s="577">
        <v>26550</v>
      </c>
      <c r="F41" s="454"/>
      <c r="G41" s="393"/>
      <c r="H41" s="393"/>
      <c r="I41" s="455"/>
      <c r="J41" s="595"/>
      <c r="K41" s="586"/>
      <c r="L41" s="586"/>
      <c r="M41" s="455"/>
      <c r="N41" s="445"/>
      <c r="O41" s="469">
        <f t="shared" si="14"/>
        <v>26550</v>
      </c>
      <c r="P41" s="404">
        <f t="shared" si="16"/>
        <v>26550</v>
      </c>
      <c r="Q41" s="395"/>
      <c r="R41" s="478"/>
      <c r="S41" s="492"/>
      <c r="T41" s="493"/>
      <c r="U41" s="514"/>
      <c r="V41" s="515"/>
      <c r="W41" s="515"/>
    </row>
    <row r="42" spans="1:23" x14ac:dyDescent="0.25">
      <c r="A42" s="406"/>
      <c r="B42" s="550" t="s">
        <v>577</v>
      </c>
      <c r="C42" s="456"/>
      <c r="D42" s="397"/>
      <c r="E42" s="578">
        <f>52050+1229</f>
        <v>53279</v>
      </c>
      <c r="F42" s="456"/>
      <c r="G42" s="397"/>
      <c r="H42" s="397"/>
      <c r="I42" s="460"/>
      <c r="J42" s="596"/>
      <c r="K42" s="587"/>
      <c r="L42" s="587"/>
      <c r="M42" s="460"/>
      <c r="N42" s="447"/>
      <c r="O42" s="469">
        <f t="shared" si="14"/>
        <v>53279</v>
      </c>
      <c r="P42" s="404">
        <f t="shared" si="16"/>
        <v>53279</v>
      </c>
      <c r="Q42" s="395"/>
      <c r="R42" s="478"/>
      <c r="S42" s="492"/>
      <c r="T42" s="493"/>
      <c r="U42" s="514"/>
      <c r="V42" s="515"/>
      <c r="W42" s="515"/>
    </row>
    <row r="43" spans="1:23" x14ac:dyDescent="0.25">
      <c r="A43" s="406"/>
      <c r="B43" s="550" t="s">
        <v>662</v>
      </c>
      <c r="C43" s="456"/>
      <c r="D43" s="397"/>
      <c r="E43" s="578">
        <v>32436</v>
      </c>
      <c r="F43" s="456"/>
      <c r="G43" s="397"/>
      <c r="H43" s="397"/>
      <c r="I43" s="460"/>
      <c r="J43" s="596"/>
      <c r="K43" s="587"/>
      <c r="L43" s="587"/>
      <c r="M43" s="460"/>
      <c r="N43" s="447"/>
      <c r="O43" s="469">
        <f t="shared" si="14"/>
        <v>32436</v>
      </c>
      <c r="P43" s="404">
        <f t="shared" si="16"/>
        <v>32436</v>
      </c>
      <c r="Q43" s="395"/>
      <c r="R43" s="478"/>
      <c r="S43" s="492"/>
      <c r="T43" s="493"/>
      <c r="U43" s="514"/>
      <c r="V43" s="515"/>
      <c r="W43" s="515"/>
    </row>
    <row r="44" spans="1:23" x14ac:dyDescent="0.25">
      <c r="A44" s="406"/>
      <c r="B44" s="550" t="s">
        <v>661</v>
      </c>
      <c r="C44" s="456"/>
      <c r="D44" s="397"/>
      <c r="E44" s="578">
        <v>35008</v>
      </c>
      <c r="F44" s="456"/>
      <c r="G44" s="397"/>
      <c r="H44" s="397"/>
      <c r="I44" s="460"/>
      <c r="J44" s="596"/>
      <c r="K44" s="587"/>
      <c r="L44" s="587"/>
      <c r="M44" s="460"/>
      <c r="N44" s="447"/>
      <c r="O44" s="469">
        <f t="shared" si="14"/>
        <v>35008</v>
      </c>
      <c r="P44" s="404">
        <f t="shared" si="16"/>
        <v>35008</v>
      </c>
      <c r="Q44" s="395"/>
      <c r="R44" s="478"/>
      <c r="S44" s="492"/>
      <c r="T44" s="493"/>
      <c r="U44" s="514"/>
      <c r="V44" s="515"/>
      <c r="W44" s="515"/>
    </row>
    <row r="45" spans="1:23" x14ac:dyDescent="0.25">
      <c r="A45" s="406"/>
      <c r="B45" s="550" t="s">
        <v>660</v>
      </c>
      <c r="C45" s="456"/>
      <c r="D45" s="397"/>
      <c r="E45" s="578">
        <v>194072</v>
      </c>
      <c r="F45" s="456"/>
      <c r="G45" s="397"/>
      <c r="H45" s="397"/>
      <c r="I45" s="460"/>
      <c r="J45" s="596"/>
      <c r="K45" s="587"/>
      <c r="L45" s="587"/>
      <c r="M45" s="460"/>
      <c r="N45" s="447"/>
      <c r="O45" s="469">
        <f t="shared" si="14"/>
        <v>194072</v>
      </c>
      <c r="P45" s="404">
        <f t="shared" si="16"/>
        <v>194072</v>
      </c>
      <c r="Q45" s="395"/>
      <c r="R45" s="478"/>
      <c r="S45" s="492"/>
      <c r="T45" s="493"/>
      <c r="U45" s="514"/>
      <c r="V45" s="515"/>
      <c r="W45" s="515"/>
    </row>
    <row r="46" spans="1:23" x14ac:dyDescent="0.25">
      <c r="A46" s="406"/>
      <c r="B46" s="550" t="s">
        <v>620</v>
      </c>
      <c r="C46" s="456"/>
      <c r="D46" s="397"/>
      <c r="E46" s="578">
        <f>193534+4350</f>
        <v>197884</v>
      </c>
      <c r="F46" s="456"/>
      <c r="G46" s="397"/>
      <c r="H46" s="397"/>
      <c r="I46" s="460"/>
      <c r="J46" s="596"/>
      <c r="K46" s="587"/>
      <c r="L46" s="587"/>
      <c r="M46" s="460"/>
      <c r="N46" s="447"/>
      <c r="O46" s="469">
        <f>SUM(P46:Q46)</f>
        <v>197884</v>
      </c>
      <c r="P46" s="404">
        <f t="shared" si="16"/>
        <v>197884</v>
      </c>
      <c r="Q46" s="395"/>
      <c r="R46" s="478"/>
      <c r="S46" s="492"/>
      <c r="T46" s="493"/>
      <c r="U46" s="514"/>
      <c r="V46" s="515"/>
      <c r="W46" s="515"/>
    </row>
    <row r="47" spans="1:23" ht="15.75" thickBot="1" x14ac:dyDescent="0.3">
      <c r="A47" s="406"/>
      <c r="B47" s="550" t="s">
        <v>527</v>
      </c>
      <c r="C47" s="456"/>
      <c r="D47" s="397"/>
      <c r="E47" s="578">
        <v>900</v>
      </c>
      <c r="F47" s="456"/>
      <c r="G47" s="397"/>
      <c r="H47" s="397"/>
      <c r="I47" s="460"/>
      <c r="J47" s="596"/>
      <c r="K47" s="587"/>
      <c r="L47" s="587"/>
      <c r="M47" s="460"/>
      <c r="N47" s="447"/>
      <c r="O47" s="469">
        <f t="shared" si="14"/>
        <v>900</v>
      </c>
      <c r="P47" s="404">
        <f t="shared" si="16"/>
        <v>900</v>
      </c>
      <c r="Q47" s="382"/>
      <c r="R47" s="478"/>
      <c r="S47" s="492"/>
      <c r="T47" s="493"/>
      <c r="U47" s="514"/>
      <c r="V47" s="515"/>
      <c r="W47" s="515"/>
    </row>
    <row r="48" spans="1:23" ht="15.75" thickBot="1" x14ac:dyDescent="0.3">
      <c r="A48" s="438" t="s">
        <v>528</v>
      </c>
      <c r="B48" s="548" t="s">
        <v>548</v>
      </c>
      <c r="C48" s="461"/>
      <c r="D48" s="401"/>
      <c r="E48" s="462"/>
      <c r="F48" s="461"/>
      <c r="G48" s="401">
        <f>G9+G18+G25</f>
        <v>1186835</v>
      </c>
      <c r="H48" s="401"/>
      <c r="I48" s="462"/>
      <c r="J48" s="449"/>
      <c r="K48" s="483"/>
      <c r="L48" s="483"/>
      <c r="M48" s="462">
        <f>M20+M21+M22</f>
        <v>27305</v>
      </c>
      <c r="N48" s="446">
        <f>M48</f>
        <v>27305</v>
      </c>
      <c r="O48" s="427">
        <f t="shared" si="14"/>
        <v>1214140</v>
      </c>
      <c r="P48" s="384">
        <f>G48</f>
        <v>1186835</v>
      </c>
      <c r="Q48" s="385">
        <f>M48</f>
        <v>27305</v>
      </c>
      <c r="R48" s="480"/>
      <c r="S48" s="492"/>
      <c r="T48" s="493"/>
      <c r="U48" s="514"/>
      <c r="V48" s="515"/>
      <c r="W48" s="515"/>
    </row>
    <row r="49" spans="1:24" ht="15.75" thickBot="1" x14ac:dyDescent="0.3">
      <c r="A49" s="400" t="s">
        <v>529</v>
      </c>
      <c r="B49" s="551" t="s">
        <v>295</v>
      </c>
      <c r="C49" s="461">
        <f>SUM(D49:E49)</f>
        <v>60054</v>
      </c>
      <c r="D49" s="401">
        <f>96000+14352+29516+53722+23876+8070+15775-194072</f>
        <v>47239</v>
      </c>
      <c r="E49" s="462">
        <f>85838-1229-4350-35008-32436</f>
        <v>12815</v>
      </c>
      <c r="F49" s="664"/>
      <c r="G49" s="401">
        <v>55000</v>
      </c>
      <c r="H49" s="401">
        <v>45770</v>
      </c>
      <c r="I49" s="401">
        <f>19000+74650</f>
        <v>93650</v>
      </c>
      <c r="J49" s="449">
        <f>D49+E49+G49+H49+F49+I49</f>
        <v>254474</v>
      </c>
      <c r="K49" s="483"/>
      <c r="L49" s="483"/>
      <c r="M49" s="462">
        <f>21000-3000-13392</f>
        <v>4608</v>
      </c>
      <c r="N49" s="446">
        <f>D49+E49+G49+H49+F49+M49+I49</f>
        <v>259082</v>
      </c>
      <c r="O49" s="427">
        <v>0</v>
      </c>
      <c r="P49" s="384">
        <v>0</v>
      </c>
      <c r="Q49" s="402"/>
      <c r="R49" s="478"/>
      <c r="S49" s="492"/>
      <c r="T49" s="493"/>
      <c r="U49" s="514"/>
      <c r="V49" s="515"/>
      <c r="W49" s="515"/>
    </row>
    <row r="50" spans="1:24" ht="15.75" thickBot="1" x14ac:dyDescent="0.3">
      <c r="A50" s="400" t="s">
        <v>530</v>
      </c>
      <c r="B50" s="551" t="s">
        <v>531</v>
      </c>
      <c r="C50" s="461"/>
      <c r="D50" s="401"/>
      <c r="E50" s="462"/>
      <c r="F50" s="461"/>
      <c r="G50" s="401"/>
      <c r="H50" s="401">
        <f>H9+H18</f>
        <v>611175</v>
      </c>
      <c r="I50" s="462">
        <f>I9+I18</f>
        <v>926760</v>
      </c>
      <c r="J50" s="449"/>
      <c r="K50" s="483"/>
      <c r="L50" s="483"/>
      <c r="M50" s="462"/>
      <c r="N50" s="446"/>
      <c r="O50" s="427">
        <f>P50</f>
        <v>1537935</v>
      </c>
      <c r="P50" s="384">
        <f>H50+I50</f>
        <v>1537935</v>
      </c>
      <c r="Q50" s="402"/>
      <c r="R50" s="481"/>
      <c r="S50" s="492"/>
      <c r="T50" s="493"/>
      <c r="U50" s="514"/>
      <c r="V50" s="515"/>
      <c r="W50" s="515"/>
    </row>
    <row r="51" spans="1:24" ht="15.75" thickBot="1" x14ac:dyDescent="0.3">
      <c r="A51" s="822" t="s">
        <v>595</v>
      </c>
      <c r="B51" s="823"/>
      <c r="C51" s="463">
        <f>C9+C18+C25+C49</f>
        <v>7240514</v>
      </c>
      <c r="D51" s="439">
        <f>D18+D49</f>
        <v>6151239</v>
      </c>
      <c r="E51" s="464">
        <f>E30+E31+E32+E33+E34+E37+E38+E39+E40+E41+E42+E46+E47+E49+E35+E36+E43+E44+E45</f>
        <v>1089275</v>
      </c>
      <c r="F51" s="665">
        <f>F9+F18+F25+F8+F49</f>
        <v>4789018</v>
      </c>
      <c r="G51" s="439">
        <f>G9+G18+G25+G49</f>
        <v>1241835</v>
      </c>
      <c r="H51" s="439">
        <f>H9+H18+H49</f>
        <v>656945</v>
      </c>
      <c r="I51" s="439">
        <f>I9+I18+I49</f>
        <v>1020410</v>
      </c>
      <c r="J51" s="597">
        <f>J9+J18+J25+J49+J8</f>
        <v>14948722</v>
      </c>
      <c r="K51" s="590">
        <f>K9+K18+K25</f>
        <v>10887018</v>
      </c>
      <c r="L51" s="590"/>
      <c r="M51" s="464">
        <f>M9+M18+M25+M49</f>
        <v>471593</v>
      </c>
      <c r="N51" s="448">
        <f>N9+N18+N25+N8+N49</f>
        <v>15424024</v>
      </c>
      <c r="O51" s="437">
        <f>O50+O48+O29+O25+O18+O9</f>
        <v>14815285</v>
      </c>
      <c r="P51" s="466">
        <f>P50+P48+P29+P25+P18+P9</f>
        <v>14598606</v>
      </c>
      <c r="Q51" s="467">
        <f>Q9+Q18+Q25+Q48</f>
        <v>216679</v>
      </c>
      <c r="R51" s="482"/>
      <c r="S51" s="461">
        <f>S9+S18+S25</f>
        <v>611000</v>
      </c>
      <c r="T51" s="401">
        <f>T9+T18+T25</f>
        <v>4800</v>
      </c>
      <c r="U51" s="483">
        <f>U25+U18+U9</f>
        <v>554230</v>
      </c>
      <c r="V51" s="449"/>
      <c r="W51" s="483">
        <f>W9+W18+W25</f>
        <v>56945</v>
      </c>
    </row>
    <row r="52" spans="1:24" ht="15.75" thickBot="1" x14ac:dyDescent="0.3">
      <c r="A52" s="796" t="s">
        <v>357</v>
      </c>
      <c r="B52" s="797"/>
      <c r="C52" s="517"/>
      <c r="D52" s="516">
        <v>634620</v>
      </c>
      <c r="E52" s="518"/>
      <c r="F52" s="666">
        <v>100000</v>
      </c>
      <c r="G52" s="516">
        <v>470000</v>
      </c>
      <c r="H52" s="516">
        <v>300885</v>
      </c>
      <c r="I52" s="518"/>
      <c r="J52" s="598"/>
      <c r="K52" s="591"/>
      <c r="L52" s="591"/>
      <c r="M52" s="518">
        <v>10000</v>
      </c>
      <c r="N52" s="519">
        <f>SUM(C52:M52)</f>
        <v>1515505</v>
      </c>
      <c r="O52" s="520">
        <f>SUM(P52:Q52)</f>
        <v>1515505</v>
      </c>
      <c r="P52" s="521">
        <f>D52+F52+G52+H52</f>
        <v>1505505</v>
      </c>
      <c r="Q52" s="522">
        <f>M52</f>
        <v>10000</v>
      </c>
      <c r="R52" s="523"/>
      <c r="S52" s="521">
        <v>480000</v>
      </c>
      <c r="T52" s="524">
        <v>0</v>
      </c>
      <c r="U52" s="525">
        <v>260000</v>
      </c>
      <c r="V52" s="520"/>
      <c r="W52" s="526">
        <v>40885</v>
      </c>
    </row>
    <row r="53" spans="1:24" ht="15.75" thickBot="1" x14ac:dyDescent="0.3">
      <c r="A53" s="796" t="s">
        <v>544</v>
      </c>
      <c r="B53" s="797"/>
      <c r="C53" s="521"/>
      <c r="D53" s="522"/>
      <c r="E53" s="525"/>
      <c r="F53" s="521">
        <v>185000</v>
      </c>
      <c r="G53" s="522">
        <v>17500</v>
      </c>
      <c r="H53" s="522"/>
      <c r="I53" s="525"/>
      <c r="J53" s="520"/>
      <c r="K53" s="526"/>
      <c r="L53" s="591"/>
      <c r="M53" s="518"/>
      <c r="N53" s="519">
        <f>SUM(C53:M53)</f>
        <v>202500</v>
      </c>
      <c r="O53" s="520">
        <f>SUM(P53:Q53)</f>
        <v>202500</v>
      </c>
      <c r="P53" s="521">
        <f>F53+G53</f>
        <v>202500</v>
      </c>
      <c r="Q53" s="522">
        <f>M53</f>
        <v>0</v>
      </c>
      <c r="R53" s="523"/>
      <c r="S53" s="521">
        <v>10000</v>
      </c>
      <c r="T53" s="524">
        <v>7500</v>
      </c>
      <c r="U53" s="525"/>
      <c r="V53" s="520"/>
      <c r="W53" s="526"/>
    </row>
    <row r="54" spans="1:24" s="342" customFormat="1" ht="32.25" customHeight="1" thickBot="1" x14ac:dyDescent="0.3">
      <c r="A54" s="817" t="s">
        <v>545</v>
      </c>
      <c r="B54" s="818"/>
      <c r="C54" s="529">
        <f>C51+C52+C53</f>
        <v>7240514</v>
      </c>
      <c r="D54" s="527">
        <f>D51+D52+D53</f>
        <v>6785859</v>
      </c>
      <c r="E54" s="530">
        <f t="shared" ref="E54:M54" si="17">E51+E52+E53</f>
        <v>1089275</v>
      </c>
      <c r="F54" s="529">
        <f t="shared" si="17"/>
        <v>5074018</v>
      </c>
      <c r="G54" s="527">
        <f t="shared" si="17"/>
        <v>1729335</v>
      </c>
      <c r="H54" s="527">
        <f t="shared" si="17"/>
        <v>957830</v>
      </c>
      <c r="I54" s="530">
        <f t="shared" si="17"/>
        <v>1020410</v>
      </c>
      <c r="J54" s="531">
        <f t="shared" si="17"/>
        <v>14948722</v>
      </c>
      <c r="K54" s="582">
        <f t="shared" si="17"/>
        <v>10887018</v>
      </c>
      <c r="L54" s="693"/>
      <c r="M54" s="530">
        <f t="shared" si="17"/>
        <v>481593</v>
      </c>
      <c r="N54" s="532">
        <f>N51+N52+N53</f>
        <v>17142029</v>
      </c>
      <c r="O54" s="531">
        <f>O51+O52+O53</f>
        <v>16533290</v>
      </c>
      <c r="P54" s="529">
        <f>P51+P52+P53</f>
        <v>16306611</v>
      </c>
      <c r="Q54" s="527">
        <f>Q51+Q52+Q53</f>
        <v>226679</v>
      </c>
      <c r="R54" s="528"/>
      <c r="S54" s="740">
        <f>S53+S52+S51+U51+U52+T51+T53+T52</f>
        <v>1927530</v>
      </c>
      <c r="T54" s="741"/>
      <c r="U54" s="742"/>
      <c r="V54" s="531">
        <f>V53</f>
        <v>0</v>
      </c>
      <c r="W54" s="532">
        <f>W51+W52</f>
        <v>97830</v>
      </c>
      <c r="X54" s="533"/>
    </row>
    <row r="55" spans="1:24" s="342" customFormat="1" ht="16.5" thickBot="1" x14ac:dyDescent="0.3">
      <c r="A55" s="745" t="s">
        <v>549</v>
      </c>
      <c r="B55" s="746"/>
      <c r="C55" s="529"/>
      <c r="D55" s="527"/>
      <c r="E55" s="530"/>
      <c r="F55" s="529"/>
      <c r="G55" s="527"/>
      <c r="H55" s="527"/>
      <c r="I55" s="530"/>
      <c r="J55" s="531"/>
      <c r="K55" s="582"/>
      <c r="L55" s="693"/>
      <c r="M55" s="530"/>
      <c r="N55" s="532">
        <f>SUM(C55:M55)</f>
        <v>0</v>
      </c>
      <c r="O55" s="531">
        <f>SUM(P55:R55)</f>
        <v>21592325</v>
      </c>
      <c r="P55" s="529">
        <f>11661326-194072-35008-32436</f>
        <v>11399810</v>
      </c>
      <c r="Q55" s="527">
        <f>4639288-3000-13392-2220</f>
        <v>4620676</v>
      </c>
      <c r="R55" s="528">
        <v>5571839</v>
      </c>
      <c r="S55" s="740">
        <v>25708363</v>
      </c>
      <c r="T55" s="741"/>
      <c r="U55" s="742"/>
      <c r="V55" s="531">
        <v>5616072</v>
      </c>
      <c r="W55" s="532">
        <v>4775820</v>
      </c>
      <c r="X55" s="533"/>
    </row>
    <row r="56" spans="1:24" s="440" customFormat="1" ht="33.75" customHeight="1" thickBot="1" x14ac:dyDescent="0.35">
      <c r="A56" s="734" t="s">
        <v>550</v>
      </c>
      <c r="B56" s="735"/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  <c r="O56" s="736"/>
      <c r="P56" s="534">
        <f>P54+P55</f>
        <v>27706421</v>
      </c>
      <c r="Q56" s="535">
        <f>Q54+Q55</f>
        <v>4847355</v>
      </c>
      <c r="R56" s="536">
        <f>R54+R55</f>
        <v>5571839</v>
      </c>
      <c r="S56" s="743">
        <f>S54+S55</f>
        <v>27635893</v>
      </c>
      <c r="T56" s="732"/>
      <c r="U56" s="744"/>
      <c r="V56" s="537">
        <f>V54+V55</f>
        <v>5616072</v>
      </c>
      <c r="W56" s="538">
        <f>W54+W55</f>
        <v>4873650</v>
      </c>
      <c r="X56" s="539"/>
    </row>
    <row r="57" spans="1:24" ht="19.5" thickBot="1" x14ac:dyDescent="0.35">
      <c r="A57" s="737"/>
      <c r="B57" s="738"/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9"/>
      <c r="P57" s="731">
        <f>SUM(P56:R56)</f>
        <v>38125615</v>
      </c>
      <c r="Q57" s="768"/>
      <c r="R57" s="769"/>
      <c r="S57" s="731">
        <f>SUM(S56:W56)</f>
        <v>38125615</v>
      </c>
      <c r="T57" s="732"/>
      <c r="U57" s="732"/>
      <c r="V57" s="732"/>
      <c r="W57" s="733"/>
    </row>
    <row r="58" spans="1:24" ht="15.75" thickBot="1" x14ac:dyDescent="0.3">
      <c r="P58" s="782">
        <f>S57-P57</f>
        <v>0</v>
      </c>
      <c r="Q58" s="783"/>
      <c r="R58" s="783"/>
      <c r="S58" s="783"/>
      <c r="T58" s="783"/>
      <c r="U58" s="783"/>
      <c r="V58" s="783"/>
      <c r="W58" s="784"/>
    </row>
  </sheetData>
  <mergeCells count="35">
    <mergeCell ref="P58:W58"/>
    <mergeCell ref="A1:W1"/>
    <mergeCell ref="S6:U6"/>
    <mergeCell ref="S2:W4"/>
    <mergeCell ref="A52:B52"/>
    <mergeCell ref="N2:N6"/>
    <mergeCell ref="D4:E4"/>
    <mergeCell ref="F4:F6"/>
    <mergeCell ref="O2:R4"/>
    <mergeCell ref="P5:R5"/>
    <mergeCell ref="C2:K2"/>
    <mergeCell ref="A53:B53"/>
    <mergeCell ref="A54:B54"/>
    <mergeCell ref="M3:M6"/>
    <mergeCell ref="A51:B51"/>
    <mergeCell ref="H4:H6"/>
    <mergeCell ref="L3:L6"/>
    <mergeCell ref="P57:R57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  <mergeCell ref="S57:W57"/>
    <mergeCell ref="A56:O57"/>
    <mergeCell ref="S54:U54"/>
    <mergeCell ref="S55:U55"/>
    <mergeCell ref="S56:U56"/>
    <mergeCell ref="A55:B55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2024-10-24T12:05:35Z</cp:lastPrinted>
  <dcterms:created xsi:type="dcterms:W3CDTF">2013-01-26T12:47:58Z</dcterms:created>
  <dcterms:modified xsi:type="dcterms:W3CDTF">2024-12-04T09:33:36Z</dcterms:modified>
</cp:coreProperties>
</file>