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4\Mesačné plnenie 2024\Jún 2024\"/>
    </mc:Choice>
  </mc:AlternateContent>
  <xr:revisionPtr revIDLastSave="0" documentId="13_ncr:1_{3D2C4888-E7AB-433C-BA3B-2984B7197898}" xr6:coauthVersionLast="47" xr6:coauthVersionMax="47" xr10:uidLastSave="{00000000-0000-0000-0000-000000000000}"/>
  <bookViews>
    <workbookView xWindow="-120" yWindow="-120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B30" i="7"/>
  <c r="B29" i="7"/>
  <c r="F105" i="5"/>
  <c r="F82" i="5"/>
  <c r="L7" i="13"/>
  <c r="C3" i="12" l="1"/>
  <c r="P52" i="13"/>
  <c r="Q52" i="13"/>
  <c r="M45" i="13"/>
  <c r="G21" i="13"/>
  <c r="G22" i="13"/>
  <c r="Q11" i="13"/>
  <c r="M11" i="13"/>
  <c r="F11" i="13"/>
  <c r="E16" i="13"/>
  <c r="E43" i="13"/>
  <c r="E46" i="13"/>
  <c r="E24" i="13"/>
  <c r="E23" i="13"/>
  <c r="E22" i="13"/>
  <c r="E21" i="13"/>
  <c r="E20" i="13"/>
  <c r="E19" i="13"/>
  <c r="E42" i="13"/>
  <c r="M46" i="13"/>
  <c r="F17" i="13"/>
  <c r="F26" i="13"/>
  <c r="W48" i="13"/>
  <c r="U21" i="13"/>
  <c r="U19" i="13"/>
  <c r="E38" i="13"/>
  <c r="N12" i="13"/>
  <c r="L25" i="13"/>
  <c r="L18" i="13"/>
  <c r="L9" i="13"/>
  <c r="I46" i="13"/>
  <c r="D46" i="13"/>
  <c r="F18" i="5" l="1"/>
  <c r="D28" i="12" l="1"/>
  <c r="F79" i="5"/>
  <c r="C28" i="12" l="1"/>
  <c r="E29" i="13" l="1"/>
  <c r="E48" i="13"/>
  <c r="D30" i="7" l="1"/>
  <c r="D29" i="7"/>
  <c r="K181" i="6"/>
  <c r="K180" i="6"/>
  <c r="K177" i="6"/>
  <c r="K176" i="6"/>
  <c r="K175" i="6"/>
  <c r="K174" i="6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39" i="6"/>
  <c r="K138" i="6"/>
  <c r="K137" i="6"/>
  <c r="K136" i="6"/>
  <c r="K135" i="6"/>
  <c r="K134" i="6"/>
  <c r="K132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39" i="6"/>
  <c r="J138" i="6"/>
  <c r="J137" i="6"/>
  <c r="J135" i="6"/>
  <c r="J134" i="6"/>
  <c r="J132" i="6"/>
  <c r="J119" i="6"/>
  <c r="J118" i="6"/>
  <c r="J117" i="6"/>
  <c r="J116" i="6"/>
  <c r="J115" i="6"/>
  <c r="J114" i="6"/>
  <c r="J112" i="6"/>
  <c r="J111" i="6"/>
  <c r="J110" i="6"/>
  <c r="J109" i="6"/>
  <c r="J108" i="6"/>
  <c r="J107" i="6"/>
  <c r="J105" i="6"/>
  <c r="J104" i="6"/>
  <c r="J103" i="6"/>
  <c r="J102" i="6"/>
  <c r="J101" i="6"/>
  <c r="J100" i="6"/>
  <c r="J99" i="6"/>
  <c r="J98" i="6"/>
  <c r="J96" i="6"/>
  <c r="J94" i="6"/>
  <c r="J92" i="6"/>
  <c r="J90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61" i="6"/>
  <c r="J59" i="6"/>
  <c r="J58" i="6"/>
  <c r="J57" i="6"/>
  <c r="J56" i="6"/>
  <c r="J55" i="6"/>
  <c r="J54" i="6"/>
  <c r="J51" i="6"/>
  <c r="J50" i="6"/>
  <c r="J49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8" i="6"/>
  <c r="J17" i="6"/>
  <c r="J16" i="6"/>
  <c r="J15" i="6"/>
  <c r="J13" i="6"/>
  <c r="J12" i="6"/>
  <c r="J11" i="6"/>
  <c r="J10" i="6"/>
  <c r="I181" i="6"/>
  <c r="I176" i="6"/>
  <c r="I175" i="6"/>
  <c r="I172" i="6"/>
  <c r="I171" i="6"/>
  <c r="I170" i="6"/>
  <c r="I169" i="6"/>
  <c r="I168" i="6"/>
  <c r="I166" i="6"/>
  <c r="I164" i="6"/>
  <c r="I163" i="6"/>
  <c r="I161" i="6"/>
  <c r="I160" i="6"/>
  <c r="I159" i="6"/>
  <c r="I158" i="6"/>
  <c r="I155" i="6"/>
  <c r="I154" i="6"/>
  <c r="I139" i="6"/>
  <c r="I138" i="6"/>
  <c r="I132" i="6"/>
  <c r="I119" i="6"/>
  <c r="I117" i="6"/>
  <c r="I115" i="6"/>
  <c r="I114" i="6"/>
  <c r="I105" i="6"/>
  <c r="I104" i="6"/>
  <c r="I103" i="6"/>
  <c r="I102" i="6"/>
  <c r="I101" i="6"/>
  <c r="I100" i="6"/>
  <c r="I99" i="6"/>
  <c r="I98" i="6"/>
  <c r="I94" i="6"/>
  <c r="I90" i="6"/>
  <c r="I89" i="6"/>
  <c r="I87" i="6"/>
  <c r="I86" i="6"/>
  <c r="I84" i="6"/>
  <c r="I83" i="6"/>
  <c r="I79" i="6"/>
  <c r="I78" i="6"/>
  <c r="I75" i="6"/>
  <c r="I74" i="6"/>
  <c r="I73" i="6"/>
  <c r="I70" i="6"/>
  <c r="I67" i="6"/>
  <c r="I66" i="6"/>
  <c r="I64" i="6"/>
  <c r="I61" i="6"/>
  <c r="I58" i="6"/>
  <c r="I51" i="6"/>
  <c r="I50" i="6"/>
  <c r="I45" i="6"/>
  <c r="I44" i="6"/>
  <c r="I43" i="6"/>
  <c r="I42" i="6"/>
  <c r="I41" i="6"/>
  <c r="I40" i="6"/>
  <c r="I38" i="6"/>
  <c r="I37" i="6"/>
  <c r="I35" i="6"/>
  <c r="I34" i="6"/>
  <c r="I33" i="6"/>
  <c r="I31" i="6"/>
  <c r="I30" i="6"/>
  <c r="I29" i="6"/>
  <c r="I28" i="6"/>
  <c r="I27" i="6"/>
  <c r="I26" i="6"/>
  <c r="I25" i="6"/>
  <c r="I24" i="6"/>
  <c r="I21" i="6"/>
  <c r="I20" i="6"/>
  <c r="I19" i="6"/>
  <c r="I18" i="6"/>
  <c r="I17" i="6"/>
  <c r="I16" i="6"/>
  <c r="I15" i="6"/>
  <c r="I13" i="6"/>
  <c r="I12" i="6"/>
  <c r="I11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39" i="6"/>
  <c r="G138" i="6"/>
  <c r="G137" i="6"/>
  <c r="G136" i="6"/>
  <c r="G135" i="6"/>
  <c r="G134" i="6"/>
  <c r="G132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5" i="6"/>
  <c r="G104" i="6"/>
  <c r="G103" i="6"/>
  <c r="G102" i="6"/>
  <c r="G101" i="6"/>
  <c r="G100" i="6"/>
  <c r="G99" i="6"/>
  <c r="G98" i="6"/>
  <c r="G96" i="6"/>
  <c r="G94" i="6"/>
  <c r="G92" i="6"/>
  <c r="G90" i="6"/>
  <c r="G89" i="6"/>
  <c r="G87" i="6"/>
  <c r="G86" i="6"/>
  <c r="G84" i="6"/>
  <c r="G83" i="6"/>
  <c r="G82" i="6"/>
  <c r="G81" i="6"/>
  <c r="G80" i="6"/>
  <c r="G79" i="6"/>
  <c r="G78" i="6"/>
  <c r="G75" i="6"/>
  <c r="G74" i="6"/>
  <c r="G73" i="6"/>
  <c r="G71" i="6"/>
  <c r="G70" i="6"/>
  <c r="G67" i="6"/>
  <c r="G66" i="6"/>
  <c r="G64" i="6"/>
  <c r="G63" i="6"/>
  <c r="G62" i="6"/>
  <c r="G61" i="6"/>
  <c r="G59" i="6"/>
  <c r="G58" i="6"/>
  <c r="G57" i="6"/>
  <c r="G56" i="6"/>
  <c r="G55" i="6"/>
  <c r="G54" i="6"/>
  <c r="G51" i="6"/>
  <c r="G50" i="6"/>
  <c r="G49" i="6"/>
  <c r="G47" i="6"/>
  <c r="G45" i="6"/>
  <c r="G44" i="6"/>
  <c r="G43" i="6"/>
  <c r="G42" i="6"/>
  <c r="G41" i="6"/>
  <c r="G40" i="6"/>
  <c r="G38" i="6"/>
  <c r="G37" i="6"/>
  <c r="G35" i="6"/>
  <c r="G34" i="6"/>
  <c r="G33" i="6"/>
  <c r="G31" i="6"/>
  <c r="G30" i="6"/>
  <c r="G29" i="6"/>
  <c r="G28" i="6"/>
  <c r="G27" i="6"/>
  <c r="G26" i="6"/>
  <c r="G25" i="6"/>
  <c r="G24" i="6"/>
  <c r="G21" i="6"/>
  <c r="G20" i="6"/>
  <c r="G19" i="6"/>
  <c r="G18" i="6"/>
  <c r="G17" i="6"/>
  <c r="G16" i="6"/>
  <c r="G15" i="6"/>
  <c r="G13" i="6"/>
  <c r="G12" i="6"/>
  <c r="G11" i="6"/>
  <c r="G10" i="6"/>
  <c r="F182" i="6"/>
  <c r="F181" i="6"/>
  <c r="F178" i="6"/>
  <c r="F177" i="6"/>
  <c r="F176" i="6"/>
  <c r="F175" i="6"/>
  <c r="F174" i="6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39" i="6"/>
  <c r="F138" i="6"/>
  <c r="F137" i="6"/>
  <c r="F136" i="6"/>
  <c r="F135" i="6"/>
  <c r="F134" i="6"/>
  <c r="F132" i="6"/>
  <c r="F119" i="6"/>
  <c r="F117" i="6"/>
  <c r="F116" i="6"/>
  <c r="F115" i="6"/>
  <c r="F114" i="6"/>
  <c r="F112" i="6"/>
  <c r="F110" i="6"/>
  <c r="F109" i="6"/>
  <c r="F108" i="6"/>
  <c r="F107" i="6"/>
  <c r="F105" i="6"/>
  <c r="F104" i="6"/>
  <c r="F103" i="6"/>
  <c r="F102" i="6"/>
  <c r="F101" i="6"/>
  <c r="F100" i="6"/>
  <c r="F99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F75" i="6"/>
  <c r="F74" i="6"/>
  <c r="F73" i="6"/>
  <c r="F71" i="6"/>
  <c r="F70" i="6"/>
  <c r="F67" i="6"/>
  <c r="F66" i="6"/>
  <c r="F64" i="6"/>
  <c r="F63" i="6"/>
  <c r="F62" i="6"/>
  <c r="F61" i="6"/>
  <c r="F59" i="6"/>
  <c r="F58" i="6"/>
  <c r="F57" i="6"/>
  <c r="F56" i="6"/>
  <c r="F55" i="6"/>
  <c r="F54" i="6"/>
  <c r="F51" i="6"/>
  <c r="F50" i="6"/>
  <c r="F49" i="6"/>
  <c r="F47" i="6"/>
  <c r="F45" i="6"/>
  <c r="F44" i="6"/>
  <c r="F42" i="6"/>
  <c r="F41" i="6"/>
  <c r="F40" i="6"/>
  <c r="F38" i="6"/>
  <c r="F37" i="6"/>
  <c r="F35" i="6"/>
  <c r="F34" i="6"/>
  <c r="F33" i="6"/>
  <c r="F31" i="6"/>
  <c r="F30" i="6"/>
  <c r="F29" i="6"/>
  <c r="F28" i="6"/>
  <c r="F27" i="6"/>
  <c r="F26" i="6"/>
  <c r="F25" i="6"/>
  <c r="F24" i="6"/>
  <c r="F21" i="6"/>
  <c r="F20" i="6"/>
  <c r="F19" i="6"/>
  <c r="F18" i="6"/>
  <c r="F16" i="6"/>
  <c r="F15" i="6"/>
  <c r="F13" i="6"/>
  <c r="F12" i="6"/>
  <c r="F11" i="6"/>
  <c r="F10" i="6"/>
  <c r="E181" i="6"/>
  <c r="E175" i="6"/>
  <c r="E174" i="6"/>
  <c r="E172" i="6"/>
  <c r="E164" i="6"/>
  <c r="E160" i="6"/>
  <c r="E156" i="6"/>
  <c r="E155" i="6"/>
  <c r="E139" i="6"/>
  <c r="E138" i="6"/>
  <c r="E137" i="6"/>
  <c r="E135" i="6"/>
  <c r="E119" i="6"/>
  <c r="E117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98" i="6"/>
  <c r="E96" i="6"/>
  <c r="E94" i="6"/>
  <c r="E92" i="6"/>
  <c r="E90" i="6"/>
  <c r="E89" i="6"/>
  <c r="E86" i="6"/>
  <c r="E84" i="6"/>
  <c r="E83" i="6"/>
  <c r="E82" i="6"/>
  <c r="E81" i="6"/>
  <c r="E80" i="6"/>
  <c r="E79" i="6"/>
  <c r="E78" i="6"/>
  <c r="E75" i="6"/>
  <c r="E74" i="6"/>
  <c r="E73" i="6"/>
  <c r="E67" i="6"/>
  <c r="E66" i="6"/>
  <c r="E64" i="6"/>
  <c r="E63" i="6"/>
  <c r="E62" i="6"/>
  <c r="E61" i="6"/>
  <c r="E59" i="6"/>
  <c r="E58" i="6"/>
  <c r="E56" i="6"/>
  <c r="E51" i="6"/>
  <c r="E50" i="6"/>
  <c r="E47" i="6"/>
  <c r="E45" i="6"/>
  <c r="E44" i="6"/>
  <c r="E43" i="6"/>
  <c r="E40" i="6"/>
  <c r="E38" i="6"/>
  <c r="E37" i="6"/>
  <c r="E34" i="6"/>
  <c r="E31" i="6"/>
  <c r="E30" i="6"/>
  <c r="E29" i="6"/>
  <c r="E28" i="6"/>
  <c r="E27" i="6"/>
  <c r="E26" i="6"/>
  <c r="E25" i="6"/>
  <c r="E24" i="6"/>
  <c r="E21" i="6"/>
  <c r="E20" i="6"/>
  <c r="E19" i="6"/>
  <c r="E18" i="6"/>
  <c r="E17" i="6"/>
  <c r="E16" i="6"/>
  <c r="E13" i="6"/>
  <c r="E12" i="6"/>
  <c r="E11" i="6"/>
  <c r="K113" i="6" l="1"/>
  <c r="D112" i="6" l="1"/>
  <c r="D100" i="6"/>
  <c r="D18" i="6"/>
  <c r="D175" i="6"/>
  <c r="J173" i="6"/>
  <c r="K173" i="6"/>
  <c r="G173" i="6"/>
  <c r="E173" i="6"/>
  <c r="H172" i="6"/>
  <c r="H170" i="6"/>
  <c r="H163" i="6"/>
  <c r="D160" i="6"/>
  <c r="H159" i="6"/>
  <c r="F157" i="6"/>
  <c r="G153" i="6"/>
  <c r="D139" i="6"/>
  <c r="D119" i="6"/>
  <c r="J113" i="6"/>
  <c r="D115" i="6"/>
  <c r="E113" i="6"/>
  <c r="I113" i="6"/>
  <c r="G113" i="6"/>
  <c r="D108" i="6"/>
  <c r="H99" i="6"/>
  <c r="D98" i="6"/>
  <c r="D96" i="6"/>
  <c r="K93" i="6"/>
  <c r="I93" i="6"/>
  <c r="E93" i="6"/>
  <c r="G93" i="6"/>
  <c r="G91" i="6" s="1"/>
  <c r="I88" i="6"/>
  <c r="G88" i="6"/>
  <c r="F88" i="6"/>
  <c r="E88" i="6"/>
  <c r="I85" i="6"/>
  <c r="H83" i="6"/>
  <c r="G77" i="6"/>
  <c r="J72" i="6"/>
  <c r="G72" i="6"/>
  <c r="F72" i="6"/>
  <c r="I72" i="6"/>
  <c r="I65" i="6"/>
  <c r="J60" i="6"/>
  <c r="D61" i="6"/>
  <c r="K48" i="6"/>
  <c r="J48" i="6"/>
  <c r="J46" i="6" s="1"/>
  <c r="D45" i="6"/>
  <c r="G32" i="6"/>
  <c r="D29" i="6"/>
  <c r="D25" i="6"/>
  <c r="D19" i="6"/>
  <c r="H16" i="6"/>
  <c r="H15" i="6"/>
  <c r="D12" i="6"/>
  <c r="D11" i="6"/>
  <c r="J9" i="6"/>
  <c r="F102" i="5"/>
  <c r="E102" i="5"/>
  <c r="F95" i="5"/>
  <c r="E95" i="5"/>
  <c r="F91" i="5"/>
  <c r="E91" i="5"/>
  <c r="E61" i="5"/>
  <c r="F61" i="5"/>
  <c r="E52" i="5"/>
  <c r="F52" i="5"/>
  <c r="E29" i="5"/>
  <c r="E18" i="5"/>
  <c r="F9" i="5"/>
  <c r="E9" i="5"/>
  <c r="F7" i="5"/>
  <c r="E7" i="5"/>
  <c r="F5" i="5"/>
  <c r="E5" i="5"/>
  <c r="C28" i="7" l="1"/>
  <c r="B28" i="7"/>
  <c r="B12" i="7"/>
  <c r="C12" i="7"/>
  <c r="B27" i="7"/>
  <c r="K85" i="6"/>
  <c r="K167" i="6"/>
  <c r="H41" i="6"/>
  <c r="K72" i="6"/>
  <c r="H84" i="6"/>
  <c r="I39" i="6"/>
  <c r="I36" i="6" s="1"/>
  <c r="K91" i="6"/>
  <c r="I167" i="6"/>
  <c r="H100" i="6"/>
  <c r="H102" i="6"/>
  <c r="J167" i="6"/>
  <c r="K97" i="6"/>
  <c r="K153" i="6"/>
  <c r="H117" i="6"/>
  <c r="H154" i="6"/>
  <c r="H13" i="6"/>
  <c r="D110" i="6"/>
  <c r="H132" i="6"/>
  <c r="D156" i="6"/>
  <c r="H164" i="6"/>
  <c r="D172" i="6"/>
  <c r="D181" i="6"/>
  <c r="D104" i="6"/>
  <c r="H45" i="6"/>
  <c r="G60" i="6"/>
  <c r="G65" i="6"/>
  <c r="G69" i="6"/>
  <c r="G68" i="6" s="1"/>
  <c r="J157" i="6"/>
  <c r="D107" i="6"/>
  <c r="G48" i="6"/>
  <c r="G46" i="6" s="1"/>
  <c r="G53" i="6"/>
  <c r="J65" i="6"/>
  <c r="J69" i="6"/>
  <c r="J68" i="6" s="1"/>
  <c r="J153" i="6"/>
  <c r="J23" i="6"/>
  <c r="H25" i="6"/>
  <c r="H166" i="6"/>
  <c r="J39" i="6"/>
  <c r="J36" i="6" s="1"/>
  <c r="J53" i="6"/>
  <c r="H155" i="6"/>
  <c r="H171" i="6"/>
  <c r="H104" i="6"/>
  <c r="H27" i="6"/>
  <c r="H31" i="6"/>
  <c r="G39" i="6"/>
  <c r="G36" i="6" s="1"/>
  <c r="H43" i="6"/>
  <c r="H98" i="6"/>
  <c r="G106" i="6"/>
  <c r="D155" i="6"/>
  <c r="H169" i="6"/>
  <c r="F9" i="6"/>
  <c r="H20" i="6"/>
  <c r="I23" i="6"/>
  <c r="H37" i="6"/>
  <c r="D101" i="6"/>
  <c r="H139" i="6"/>
  <c r="G157" i="6"/>
  <c r="D164" i="6"/>
  <c r="H168" i="6"/>
  <c r="K9" i="6"/>
  <c r="G9" i="6"/>
  <c r="I157" i="6"/>
  <c r="H176" i="6"/>
  <c r="K23" i="6"/>
  <c r="G23" i="6"/>
  <c r="G22" i="6" s="1"/>
  <c r="F32" i="6"/>
  <c r="K65" i="6"/>
  <c r="I97" i="6"/>
  <c r="J162" i="6"/>
  <c r="G97" i="6"/>
  <c r="H105" i="6"/>
  <c r="K106" i="6"/>
  <c r="H138" i="6"/>
  <c r="K157" i="6"/>
  <c r="K162" i="6"/>
  <c r="H175" i="6"/>
  <c r="H18" i="6"/>
  <c r="D38" i="6"/>
  <c r="D74" i="6"/>
  <c r="K77" i="6"/>
  <c r="H90" i="6"/>
  <c r="E97" i="6"/>
  <c r="H114" i="6"/>
  <c r="H119" i="6"/>
  <c r="D137" i="6"/>
  <c r="G162" i="6"/>
  <c r="H181" i="6"/>
  <c r="H34" i="6"/>
  <c r="D117" i="6"/>
  <c r="H161" i="6"/>
  <c r="I32" i="6"/>
  <c r="D50" i="6"/>
  <c r="H51" i="6"/>
  <c r="D73" i="6"/>
  <c r="H11" i="6"/>
  <c r="H24" i="6"/>
  <c r="H28" i="6"/>
  <c r="J32" i="6"/>
  <c r="D62" i="6"/>
  <c r="G85" i="6"/>
  <c r="G76" i="6" s="1"/>
  <c r="K88" i="6"/>
  <c r="D135" i="6"/>
  <c r="K133" i="6"/>
  <c r="K131" i="6" s="1"/>
  <c r="G167" i="6"/>
  <c r="G14" i="6"/>
  <c r="F60" i="6"/>
  <c r="H74" i="6"/>
  <c r="D92" i="6"/>
  <c r="H103" i="6"/>
  <c r="E106" i="6"/>
  <c r="G133" i="6"/>
  <c r="G131" i="6" s="1"/>
  <c r="H160" i="6"/>
  <c r="H26" i="6"/>
  <c r="H30" i="6"/>
  <c r="K39" i="6"/>
  <c r="K36" i="6" s="1"/>
  <c r="H75" i="6"/>
  <c r="D99" i="6"/>
  <c r="F153" i="6"/>
  <c r="H33" i="6"/>
  <c r="H42" i="6"/>
  <c r="K60" i="6"/>
  <c r="F69" i="6"/>
  <c r="F68" i="6" s="1"/>
  <c r="H101" i="6"/>
  <c r="D105" i="6"/>
  <c r="F167" i="6"/>
  <c r="F48" i="6"/>
  <c r="F46" i="6" s="1"/>
  <c r="K69" i="6"/>
  <c r="D86" i="6"/>
  <c r="E91" i="6"/>
  <c r="H12" i="6"/>
  <c r="H29" i="6"/>
  <c r="D37" i="6"/>
  <c r="D58" i="6"/>
  <c r="F85" i="6"/>
  <c r="J14" i="6"/>
  <c r="J8" i="6" s="1"/>
  <c r="K32" i="6"/>
  <c r="F53" i="6"/>
  <c r="D78" i="6"/>
  <c r="D82" i="6"/>
  <c r="D90" i="6"/>
  <c r="D109" i="6"/>
  <c r="F133" i="6"/>
  <c r="F131" i="6" s="1"/>
  <c r="K14" i="6"/>
  <c r="D34" i="6"/>
  <c r="H38" i="6"/>
  <c r="F77" i="6"/>
  <c r="D94" i="6"/>
  <c r="D93" i="6" s="1"/>
  <c r="D103" i="6"/>
  <c r="H115" i="6"/>
  <c r="D138" i="6"/>
  <c r="F162" i="6"/>
  <c r="D21" i="6"/>
  <c r="D26" i="6"/>
  <c r="D30" i="6"/>
  <c r="H35" i="6"/>
  <c r="H40" i="6"/>
  <c r="H44" i="6"/>
  <c r="D81" i="6"/>
  <c r="H86" i="6"/>
  <c r="H158" i="6"/>
  <c r="F23" i="6"/>
  <c r="H58" i="6"/>
  <c r="D66" i="6"/>
  <c r="H67" i="6"/>
  <c r="D13" i="6"/>
  <c r="D16" i="6"/>
  <c r="H17" i="6"/>
  <c r="H14" i="6" s="1"/>
  <c r="F65" i="6"/>
  <c r="H78" i="6"/>
  <c r="F93" i="6"/>
  <c r="F91" i="6" s="1"/>
  <c r="J97" i="6"/>
  <c r="H50" i="6"/>
  <c r="E65" i="6"/>
  <c r="H66" i="6"/>
  <c r="H70" i="6"/>
  <c r="E77" i="6"/>
  <c r="F173" i="6"/>
  <c r="D174" i="6"/>
  <c r="D173" i="6" s="1"/>
  <c r="I14" i="6"/>
  <c r="D89" i="6"/>
  <c r="K46" i="6"/>
  <c r="J106" i="6"/>
  <c r="D20" i="6"/>
  <c r="H21" i="6"/>
  <c r="D24" i="6"/>
  <c r="D28" i="6"/>
  <c r="D40" i="6"/>
  <c r="D44" i="6"/>
  <c r="D56" i="6"/>
  <c r="E60" i="6"/>
  <c r="H61" i="6"/>
  <c r="D64" i="6"/>
  <c r="E72" i="6"/>
  <c r="H73" i="6"/>
  <c r="D80" i="6"/>
  <c r="D84" i="6"/>
  <c r="K53" i="6"/>
  <c r="J93" i="6"/>
  <c r="J91" i="6" s="1"/>
  <c r="H94" i="6"/>
  <c r="H93" i="6" s="1"/>
  <c r="E23" i="6"/>
  <c r="D27" i="6"/>
  <c r="D31" i="6"/>
  <c r="D47" i="6"/>
  <c r="D51" i="6"/>
  <c r="D59" i="6"/>
  <c r="D63" i="6"/>
  <c r="H64" i="6"/>
  <c r="D67" i="6"/>
  <c r="D75" i="6"/>
  <c r="D79" i="6"/>
  <c r="D83" i="6"/>
  <c r="F97" i="6"/>
  <c r="D102" i="6"/>
  <c r="F113" i="6"/>
  <c r="D114" i="6"/>
  <c r="D113" i="6" s="1"/>
  <c r="H19" i="6"/>
  <c r="F4" i="5"/>
  <c r="C26" i="7" s="1"/>
  <c r="E4" i="5"/>
  <c r="B26" i="7" s="1"/>
  <c r="E90" i="5"/>
  <c r="B8" i="7" s="1"/>
  <c r="F29" i="5"/>
  <c r="F90" i="5"/>
  <c r="C8" i="7" s="1"/>
  <c r="E17" i="5"/>
  <c r="B36" i="7" l="1"/>
  <c r="D28" i="7"/>
  <c r="D26" i="7"/>
  <c r="D12" i="7"/>
  <c r="D8" i="7"/>
  <c r="H72" i="6"/>
  <c r="F17" i="5"/>
  <c r="F3" i="5" s="1"/>
  <c r="C27" i="7"/>
  <c r="K152" i="6"/>
  <c r="K95" i="6"/>
  <c r="K68" i="6"/>
  <c r="K8" i="6"/>
  <c r="J152" i="6"/>
  <c r="J52" i="6"/>
  <c r="J22" i="6"/>
  <c r="H157" i="6"/>
  <c r="H113" i="6"/>
  <c r="H32" i="6"/>
  <c r="H97" i="6"/>
  <c r="H167" i="6"/>
  <c r="G52" i="6"/>
  <c r="F76" i="6"/>
  <c r="F52" i="6"/>
  <c r="F22" i="6"/>
  <c r="I22" i="6"/>
  <c r="G95" i="6"/>
  <c r="G8" i="6"/>
  <c r="G152" i="6"/>
  <c r="H39" i="6"/>
  <c r="H36" i="6" s="1"/>
  <c r="D72" i="6"/>
  <c r="D65" i="6"/>
  <c r="F152" i="6"/>
  <c r="D91" i="6"/>
  <c r="K22" i="6"/>
  <c r="K76" i="6"/>
  <c r="D60" i="6"/>
  <c r="D97" i="6"/>
  <c r="K52" i="6"/>
  <c r="J95" i="6"/>
  <c r="H23" i="6"/>
  <c r="D77" i="6"/>
  <c r="D88" i="6"/>
  <c r="H65" i="6"/>
  <c r="D23" i="6"/>
  <c r="E3" i="5"/>
  <c r="C36" i="7" l="1"/>
  <c r="D36" i="7" s="1"/>
  <c r="D27" i="7"/>
  <c r="F110" i="5"/>
  <c r="C4" i="7"/>
  <c r="E110" i="5"/>
  <c r="B4" i="7"/>
  <c r="H22" i="6"/>
  <c r="D4" i="7" l="1"/>
  <c r="C21" i="7"/>
  <c r="C16" i="7"/>
  <c r="B16" i="7"/>
  <c r="B21" i="7"/>
  <c r="D21" i="7" l="1"/>
  <c r="D16" i="7"/>
  <c r="N45" i="13" l="1"/>
  <c r="C46" i="13" l="1"/>
  <c r="P49" i="13" l="1"/>
  <c r="V51" i="13" l="1"/>
  <c r="Q50" i="13"/>
  <c r="P41" i="13" l="1"/>
  <c r="P34" i="13"/>
  <c r="P33" i="13"/>
  <c r="P43" i="13"/>
  <c r="P27" i="13"/>
  <c r="P26" i="13"/>
  <c r="P38" i="13"/>
  <c r="P31" i="13"/>
  <c r="P32" i="13"/>
  <c r="P35" i="13"/>
  <c r="P36" i="13"/>
  <c r="P37" i="13"/>
  <c r="P39" i="13"/>
  <c r="P40" i="13"/>
  <c r="P42" i="13"/>
  <c r="P44" i="13"/>
  <c r="P30" i="13"/>
  <c r="P29" i="13" l="1"/>
  <c r="O43" i="13" l="1"/>
  <c r="Q49" i="13" l="1"/>
  <c r="K19" i="13"/>
  <c r="P19" i="13" s="1"/>
  <c r="O36" i="13" l="1"/>
  <c r="O35" i="13"/>
  <c r="J46" i="13" l="1"/>
  <c r="N46" i="13" l="1"/>
  <c r="T25" i="13"/>
  <c r="T18" i="13"/>
  <c r="T9" i="13"/>
  <c r="T48" i="13" l="1"/>
  <c r="T7" i="13"/>
  <c r="M18" i="13" l="1"/>
  <c r="B9" i="5" l="1"/>
  <c r="C9" i="5"/>
  <c r="D9" i="5"/>
  <c r="V53" i="13" l="1"/>
  <c r="R53" i="13"/>
  <c r="O52" i="13"/>
  <c r="N52" i="13"/>
  <c r="N50" i="13"/>
  <c r="P50" i="13"/>
  <c r="O50" i="13" s="1"/>
  <c r="N49" i="13"/>
  <c r="W25" i="13"/>
  <c r="W18" i="13"/>
  <c r="W9" i="13"/>
  <c r="U25" i="13"/>
  <c r="U18" i="13"/>
  <c r="U9" i="13"/>
  <c r="S25" i="13"/>
  <c r="S18" i="13"/>
  <c r="S9" i="13"/>
  <c r="W7" i="13" l="1"/>
  <c r="U7" i="13"/>
  <c r="U48" i="13"/>
  <c r="S7" i="13"/>
  <c r="O49" i="13"/>
  <c r="S48" i="13"/>
  <c r="S51" i="13" l="1"/>
  <c r="S53" i="13" s="1"/>
  <c r="W51" i="13"/>
  <c r="W53" i="13" s="1"/>
  <c r="S54" i="13" l="1"/>
  <c r="J13" i="13" l="1"/>
  <c r="I18" i="13"/>
  <c r="I9" i="13"/>
  <c r="I48" i="13" l="1"/>
  <c r="I51" i="13"/>
  <c r="I47" i="13"/>
  <c r="I7" i="13"/>
  <c r="F9" i="13" l="1"/>
  <c r="E51" i="13"/>
  <c r="Q45" i="13" l="1"/>
  <c r="O44" i="13"/>
  <c r="O42" i="13"/>
  <c r="O40" i="13"/>
  <c r="O39" i="13"/>
  <c r="O38" i="13"/>
  <c r="O34" i="13"/>
  <c r="O33" i="13"/>
  <c r="O32" i="13"/>
  <c r="O31" i="13"/>
  <c r="C28" i="13"/>
  <c r="J28" i="13" s="1"/>
  <c r="N28" i="13" s="1"/>
  <c r="K27" i="13"/>
  <c r="C27" i="13"/>
  <c r="J27" i="13" s="1"/>
  <c r="K26" i="13"/>
  <c r="J26" i="13"/>
  <c r="N26" i="13" s="1"/>
  <c r="M25" i="13"/>
  <c r="G25" i="13"/>
  <c r="F25" i="13"/>
  <c r="E25" i="13"/>
  <c r="K24" i="13"/>
  <c r="P24" i="13" s="1"/>
  <c r="O24" i="13" s="1"/>
  <c r="C24" i="13"/>
  <c r="K23" i="13"/>
  <c r="P23" i="13" s="1"/>
  <c r="O23" i="13" s="1"/>
  <c r="C23" i="13"/>
  <c r="K22" i="13"/>
  <c r="P22" i="13" s="1"/>
  <c r="C22" i="13"/>
  <c r="K21" i="13"/>
  <c r="P21" i="13" s="1"/>
  <c r="O21" i="13" s="1"/>
  <c r="C21" i="13"/>
  <c r="K20" i="13"/>
  <c r="P20" i="13" s="1"/>
  <c r="C20" i="13"/>
  <c r="C19" i="13"/>
  <c r="J19" i="13" s="1"/>
  <c r="N19" i="13" s="1"/>
  <c r="H18" i="13"/>
  <c r="G18" i="13"/>
  <c r="F18" i="13"/>
  <c r="E18" i="13"/>
  <c r="D18" i="13"/>
  <c r="O17" i="13"/>
  <c r="K17" i="13"/>
  <c r="C17" i="13"/>
  <c r="J17" i="13" s="1"/>
  <c r="N17" i="13" s="1"/>
  <c r="K16" i="13"/>
  <c r="P16" i="13" s="1"/>
  <c r="C16" i="13"/>
  <c r="K15" i="13"/>
  <c r="P15" i="13" s="1"/>
  <c r="C15" i="13"/>
  <c r="K14" i="13"/>
  <c r="P14" i="13" s="1"/>
  <c r="O14" i="13" s="1"/>
  <c r="C14" i="13"/>
  <c r="N13" i="13"/>
  <c r="K13" i="13"/>
  <c r="P13" i="13" s="1"/>
  <c r="K12" i="13"/>
  <c r="P12" i="13" s="1"/>
  <c r="O12" i="13" s="1"/>
  <c r="C12" i="13"/>
  <c r="K11" i="13"/>
  <c r="P11" i="13" s="1"/>
  <c r="C11" i="13"/>
  <c r="J11" i="13" s="1"/>
  <c r="K10" i="13"/>
  <c r="P10" i="13" s="1"/>
  <c r="C10" i="13"/>
  <c r="J10" i="13" s="1"/>
  <c r="N10" i="13" s="1"/>
  <c r="M9" i="13"/>
  <c r="H9" i="13"/>
  <c r="G9" i="13"/>
  <c r="E9" i="13"/>
  <c r="J8" i="13"/>
  <c r="H48" i="13" l="1"/>
  <c r="G45" i="13"/>
  <c r="P45" i="13" s="1"/>
  <c r="O45" i="13" s="1"/>
  <c r="G48" i="13"/>
  <c r="G51" i="13" s="1"/>
  <c r="F48" i="13"/>
  <c r="F51" i="13" s="1"/>
  <c r="D48" i="13"/>
  <c r="D51" i="13" s="1"/>
  <c r="M7" i="13"/>
  <c r="M48" i="13"/>
  <c r="M51" i="13" s="1"/>
  <c r="O37" i="13"/>
  <c r="E7" i="13"/>
  <c r="O41" i="13"/>
  <c r="O30" i="13"/>
  <c r="O29" i="13" s="1"/>
  <c r="O13" i="13"/>
  <c r="O16" i="13"/>
  <c r="H51" i="13"/>
  <c r="C25" i="13"/>
  <c r="J24" i="13"/>
  <c r="N24" i="13" s="1"/>
  <c r="J20" i="13"/>
  <c r="N20" i="13" s="1"/>
  <c r="N8" i="13"/>
  <c r="J23" i="13"/>
  <c r="N23" i="13" s="1"/>
  <c r="J22" i="13"/>
  <c r="N22" i="13" s="1"/>
  <c r="J21" i="13"/>
  <c r="N21" i="13" s="1"/>
  <c r="O20" i="13"/>
  <c r="O19" i="13"/>
  <c r="O15" i="13"/>
  <c r="O11" i="13"/>
  <c r="J16" i="13"/>
  <c r="N16" i="13" s="1"/>
  <c r="J15" i="13"/>
  <c r="N15" i="13" s="1"/>
  <c r="J14" i="13"/>
  <c r="N14" i="13" s="1"/>
  <c r="J12" i="13"/>
  <c r="F7" i="13"/>
  <c r="D7" i="13"/>
  <c r="Q9" i="13"/>
  <c r="Q25" i="13"/>
  <c r="O27" i="13"/>
  <c r="O22" i="13"/>
  <c r="Q18" i="13"/>
  <c r="K9" i="13"/>
  <c r="C9" i="13"/>
  <c r="P18" i="13"/>
  <c r="N27" i="13"/>
  <c r="N25" i="13" s="1"/>
  <c r="J25" i="13"/>
  <c r="P9" i="13"/>
  <c r="O10" i="13"/>
  <c r="O26" i="13"/>
  <c r="P25" i="13"/>
  <c r="G7" i="13"/>
  <c r="N11" i="13"/>
  <c r="K18" i="13"/>
  <c r="K25" i="13"/>
  <c r="H7" i="13"/>
  <c r="C18" i="13"/>
  <c r="H47" i="13"/>
  <c r="P47" i="13" s="1"/>
  <c r="C48" i="13" l="1"/>
  <c r="C51" i="13" s="1"/>
  <c r="Q7" i="13"/>
  <c r="N18" i="13"/>
  <c r="P48" i="13"/>
  <c r="O9" i="13"/>
  <c r="K7" i="13"/>
  <c r="Q48" i="13"/>
  <c r="J18" i="13"/>
  <c r="O18" i="13"/>
  <c r="O25" i="13"/>
  <c r="K48" i="13"/>
  <c r="K51" i="13" s="1"/>
  <c r="J9" i="13"/>
  <c r="C7" i="13"/>
  <c r="O47" i="13"/>
  <c r="P7" i="13"/>
  <c r="N9" i="13"/>
  <c r="J7" i="13" l="1"/>
  <c r="O7" i="13"/>
  <c r="N48" i="13"/>
  <c r="N51" i="13" s="1"/>
  <c r="N7" i="13"/>
  <c r="Q51" i="13"/>
  <c r="Q53" i="13" s="1"/>
  <c r="P51" i="13"/>
  <c r="P53" i="13" s="1"/>
  <c r="J48" i="13"/>
  <c r="J51" i="13" s="1"/>
  <c r="O48" i="13"/>
  <c r="O51" i="13" s="1"/>
  <c r="P54" i="13" l="1"/>
  <c r="P55" i="13" s="1"/>
  <c r="D29" i="5" l="1"/>
  <c r="C29" i="5"/>
  <c r="D102" i="5" l="1"/>
  <c r="C102" i="5"/>
  <c r="D95" i="5"/>
  <c r="D91" i="5"/>
  <c r="D61" i="5"/>
  <c r="D52" i="5"/>
  <c r="D18" i="5"/>
  <c r="D7" i="5"/>
  <c r="D5" i="5"/>
  <c r="C95" i="5"/>
  <c r="C91" i="5"/>
  <c r="C61" i="5"/>
  <c r="C52" i="5"/>
  <c r="C18" i="5"/>
  <c r="C7" i="5"/>
  <c r="C5" i="5"/>
  <c r="D90" i="5" l="1"/>
  <c r="C90" i="5"/>
  <c r="C17" i="5"/>
  <c r="D4" i="5"/>
  <c r="C4" i="5"/>
  <c r="D17" i="5" l="1"/>
  <c r="D3" i="5" s="1"/>
  <c r="D110" i="5" s="1"/>
  <c r="C3" i="5"/>
  <c r="C110" i="5" s="1"/>
  <c r="B61" i="5" l="1"/>
  <c r="B29" i="5" l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B5" i="5" l="1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B102" i="5" l="1"/>
  <c r="B95" i="5"/>
  <c r="B91" i="5"/>
  <c r="B52" i="5"/>
  <c r="B18" i="5"/>
  <c r="B7" i="5"/>
  <c r="B17" i="5" l="1"/>
  <c r="B90" i="5"/>
  <c r="B4" i="5"/>
  <c r="O175" i="2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B3" i="5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B110" i="5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I116" i="6" l="1"/>
  <c r="H116" i="6" s="1"/>
  <c r="E10" i="6" l="1"/>
  <c r="E9" i="6" l="1"/>
  <c r="D10" i="6"/>
  <c r="D9" i="6" s="1"/>
  <c r="K182" i="6" l="1"/>
  <c r="K179" i="6" s="1"/>
  <c r="I182" i="6"/>
  <c r="I180" i="6"/>
  <c r="J180" i="6"/>
  <c r="K178" i="6"/>
  <c r="I178" i="6"/>
  <c r="I177" i="6"/>
  <c r="H177" i="6" s="1"/>
  <c r="I165" i="6"/>
  <c r="I156" i="6"/>
  <c r="K151" i="6"/>
  <c r="J151" i="6"/>
  <c r="I151" i="6"/>
  <c r="G151" i="6"/>
  <c r="F151" i="6"/>
  <c r="E151" i="6"/>
  <c r="K150" i="6"/>
  <c r="J150" i="6"/>
  <c r="I150" i="6"/>
  <c r="G150" i="6"/>
  <c r="E150" i="6"/>
  <c r="K149" i="6"/>
  <c r="J149" i="6"/>
  <c r="I149" i="6"/>
  <c r="G149" i="6"/>
  <c r="E149" i="6"/>
  <c r="K148" i="6"/>
  <c r="J148" i="6"/>
  <c r="I148" i="6"/>
  <c r="G148" i="6"/>
  <c r="F148" i="6"/>
  <c r="E148" i="6"/>
  <c r="K147" i="6"/>
  <c r="J147" i="6"/>
  <c r="I147" i="6"/>
  <c r="G147" i="6"/>
  <c r="F147" i="6"/>
  <c r="E147" i="6"/>
  <c r="K146" i="6"/>
  <c r="J146" i="6"/>
  <c r="I146" i="6"/>
  <c r="G146" i="6"/>
  <c r="F146" i="6"/>
  <c r="K145" i="6"/>
  <c r="J145" i="6"/>
  <c r="I145" i="6"/>
  <c r="G145" i="6"/>
  <c r="F145" i="6"/>
  <c r="E145" i="6"/>
  <c r="K144" i="6"/>
  <c r="J144" i="6"/>
  <c r="I144" i="6"/>
  <c r="G144" i="6"/>
  <c r="F144" i="6"/>
  <c r="E144" i="6"/>
  <c r="K143" i="6"/>
  <c r="J143" i="6"/>
  <c r="I143" i="6"/>
  <c r="G143" i="6"/>
  <c r="F143" i="6"/>
  <c r="E143" i="6"/>
  <c r="I142" i="6"/>
  <c r="K142" i="6"/>
  <c r="J142" i="6"/>
  <c r="G142" i="6"/>
  <c r="I137" i="6"/>
  <c r="H137" i="6" s="1"/>
  <c r="J136" i="6"/>
  <c r="J133" i="6" s="1"/>
  <c r="J131" i="6" s="1"/>
  <c r="I136" i="6"/>
  <c r="I135" i="6"/>
  <c r="I134" i="6"/>
  <c r="H134" i="6" s="1"/>
  <c r="K130" i="6"/>
  <c r="J130" i="6"/>
  <c r="I130" i="6"/>
  <c r="G130" i="6"/>
  <c r="F130" i="6"/>
  <c r="E130" i="6"/>
  <c r="K129" i="6"/>
  <c r="J129" i="6"/>
  <c r="I129" i="6"/>
  <c r="G129" i="6"/>
  <c r="F129" i="6"/>
  <c r="E129" i="6"/>
  <c r="K128" i="6"/>
  <c r="J128" i="6"/>
  <c r="I128" i="6"/>
  <c r="G128" i="6"/>
  <c r="F128" i="6"/>
  <c r="E128" i="6"/>
  <c r="K127" i="6"/>
  <c r="J127" i="6"/>
  <c r="I127" i="6"/>
  <c r="G127" i="6"/>
  <c r="F127" i="6"/>
  <c r="E127" i="6"/>
  <c r="K126" i="6"/>
  <c r="J126" i="6"/>
  <c r="I126" i="6"/>
  <c r="H126" i="6" s="1"/>
  <c r="G126" i="6"/>
  <c r="F126" i="6"/>
  <c r="E126" i="6"/>
  <c r="K125" i="6"/>
  <c r="J125" i="6"/>
  <c r="I125" i="6"/>
  <c r="G125" i="6"/>
  <c r="F125" i="6"/>
  <c r="E125" i="6"/>
  <c r="D125" i="6" s="1"/>
  <c r="K124" i="6"/>
  <c r="J124" i="6"/>
  <c r="I124" i="6"/>
  <c r="G124" i="6"/>
  <c r="F124" i="6"/>
  <c r="E124" i="6"/>
  <c r="K123" i="6"/>
  <c r="J123" i="6"/>
  <c r="I123" i="6"/>
  <c r="G123" i="6"/>
  <c r="F123" i="6"/>
  <c r="E123" i="6"/>
  <c r="K121" i="6"/>
  <c r="J121" i="6"/>
  <c r="I121" i="6"/>
  <c r="G121" i="6"/>
  <c r="F121" i="6"/>
  <c r="E121" i="6"/>
  <c r="I118" i="6"/>
  <c r="H118" i="6" s="1"/>
  <c r="I112" i="6"/>
  <c r="H112" i="6" s="1"/>
  <c r="I111" i="6"/>
  <c r="H111" i="6" s="1"/>
  <c r="I110" i="6"/>
  <c r="I109" i="6"/>
  <c r="H109" i="6" s="1"/>
  <c r="I108" i="6"/>
  <c r="H108" i="6" s="1"/>
  <c r="I107" i="6"/>
  <c r="H107" i="6" s="1"/>
  <c r="I96" i="6"/>
  <c r="I92" i="6"/>
  <c r="J87" i="6"/>
  <c r="I82" i="6"/>
  <c r="H82" i="6" s="1"/>
  <c r="I81" i="6"/>
  <c r="H81" i="6" s="1"/>
  <c r="I80" i="6"/>
  <c r="J79" i="6"/>
  <c r="I71" i="6"/>
  <c r="E70" i="6"/>
  <c r="I63" i="6"/>
  <c r="H63" i="6" s="1"/>
  <c r="I62" i="6"/>
  <c r="I59" i="6"/>
  <c r="H59" i="6" s="1"/>
  <c r="I57" i="6"/>
  <c r="H57" i="6" s="1"/>
  <c r="E57" i="6"/>
  <c r="D57" i="6" s="1"/>
  <c r="I56" i="6"/>
  <c r="H56" i="6" s="1"/>
  <c r="I55" i="6"/>
  <c r="H55" i="6" s="1"/>
  <c r="E55" i="6"/>
  <c r="D55" i="6" s="1"/>
  <c r="I54" i="6"/>
  <c r="E54" i="6"/>
  <c r="I47" i="6"/>
  <c r="D129" i="6" l="1"/>
  <c r="H130" i="6"/>
  <c r="H147" i="6"/>
  <c r="H143" i="6"/>
  <c r="H151" i="6"/>
  <c r="K141" i="6"/>
  <c r="K140" i="6" s="1"/>
  <c r="H149" i="6"/>
  <c r="F122" i="6"/>
  <c r="F120" i="6" s="1"/>
  <c r="H121" i="6"/>
  <c r="H125" i="6"/>
  <c r="J122" i="6"/>
  <c r="J120" i="6" s="1"/>
  <c r="D128" i="6"/>
  <c r="I174" i="6"/>
  <c r="H110" i="6"/>
  <c r="H106" i="6" s="1"/>
  <c r="I106" i="6"/>
  <c r="I95" i="6" s="1"/>
  <c r="H182" i="6"/>
  <c r="I179" i="6"/>
  <c r="J179" i="6"/>
  <c r="H180" i="6"/>
  <c r="H178" i="6"/>
  <c r="H165" i="6"/>
  <c r="H162" i="6" s="1"/>
  <c r="I162" i="6"/>
  <c r="H156" i="6"/>
  <c r="H153" i="6" s="1"/>
  <c r="I153" i="6"/>
  <c r="D144" i="6"/>
  <c r="H145" i="6"/>
  <c r="D148" i="6"/>
  <c r="I141" i="6"/>
  <c r="I140" i="6" s="1"/>
  <c r="H142" i="6"/>
  <c r="D143" i="6"/>
  <c r="H144" i="6"/>
  <c r="D147" i="6"/>
  <c r="H148" i="6"/>
  <c r="D151" i="6"/>
  <c r="G141" i="6"/>
  <c r="G140" i="6" s="1"/>
  <c r="J141" i="6"/>
  <c r="J140" i="6" s="1"/>
  <c r="D145" i="6"/>
  <c r="H146" i="6"/>
  <c r="H150" i="6"/>
  <c r="H136" i="6"/>
  <c r="I133" i="6"/>
  <c r="I131" i="6" s="1"/>
  <c r="H135" i="6"/>
  <c r="K122" i="6"/>
  <c r="K120" i="6" s="1"/>
  <c r="H124" i="6"/>
  <c r="D127" i="6"/>
  <c r="H128" i="6"/>
  <c r="G122" i="6"/>
  <c r="G120" i="6" s="1"/>
  <c r="D121" i="6"/>
  <c r="D126" i="6"/>
  <c r="H127" i="6"/>
  <c r="D130" i="6"/>
  <c r="D124" i="6"/>
  <c r="H129" i="6"/>
  <c r="E122" i="6"/>
  <c r="E120" i="6" s="1"/>
  <c r="D123" i="6"/>
  <c r="I122" i="6"/>
  <c r="I120" i="6" s="1"/>
  <c r="H123" i="6"/>
  <c r="H96" i="6"/>
  <c r="I91" i="6"/>
  <c r="H92" i="6"/>
  <c r="H91" i="6" s="1"/>
  <c r="J85" i="6"/>
  <c r="H87" i="6"/>
  <c r="H85" i="6" s="1"/>
  <c r="J89" i="6"/>
  <c r="I77" i="6"/>
  <c r="I76" i="6" s="1"/>
  <c r="H80" i="6"/>
  <c r="H79" i="6"/>
  <c r="J77" i="6"/>
  <c r="H71" i="6"/>
  <c r="H69" i="6" s="1"/>
  <c r="H68" i="6" s="1"/>
  <c r="I69" i="6"/>
  <c r="I68" i="6" s="1"/>
  <c r="D70" i="6"/>
  <c r="H62" i="6"/>
  <c r="H60" i="6" s="1"/>
  <c r="I60" i="6"/>
  <c r="D54" i="6"/>
  <c r="D53" i="6" s="1"/>
  <c r="D52" i="6" s="1"/>
  <c r="E53" i="6"/>
  <c r="E52" i="6" s="1"/>
  <c r="I53" i="6"/>
  <c r="H54" i="6"/>
  <c r="H53" i="6" s="1"/>
  <c r="I49" i="6"/>
  <c r="H47" i="6"/>
  <c r="I52" i="6" l="1"/>
  <c r="H95" i="6"/>
  <c r="H133" i="6"/>
  <c r="H131" i="6" s="1"/>
  <c r="H52" i="6"/>
  <c r="I173" i="6"/>
  <c r="I152" i="6" s="1"/>
  <c r="H174" i="6"/>
  <c r="H173" i="6" s="1"/>
  <c r="H152" i="6" s="1"/>
  <c r="H179" i="6"/>
  <c r="H141" i="6"/>
  <c r="H140" i="6" s="1"/>
  <c r="K6" i="6"/>
  <c r="C13" i="7" s="1"/>
  <c r="D122" i="6"/>
  <c r="D120" i="6" s="1"/>
  <c r="H122" i="6"/>
  <c r="H120" i="6" s="1"/>
  <c r="H89" i="6"/>
  <c r="H88" i="6" s="1"/>
  <c r="J88" i="6"/>
  <c r="J76" i="6" s="1"/>
  <c r="J6" i="6" s="1"/>
  <c r="C9" i="7" s="1"/>
  <c r="H77" i="6"/>
  <c r="H49" i="6"/>
  <c r="H48" i="6" s="1"/>
  <c r="H46" i="6" s="1"/>
  <c r="I48" i="6"/>
  <c r="I46" i="6" s="1"/>
  <c r="C33" i="7" l="1"/>
  <c r="C14" i="7"/>
  <c r="C32" i="7"/>
  <c r="C10" i="7"/>
  <c r="H76" i="6"/>
  <c r="I10" i="6" l="1"/>
  <c r="I9" i="6" l="1"/>
  <c r="I8" i="6" s="1"/>
  <c r="H10" i="6"/>
  <c r="H9" i="6" s="1"/>
  <c r="H8" i="6" s="1"/>
  <c r="H6" i="6" l="1"/>
  <c r="I6" i="6"/>
  <c r="C5" i="7" l="1"/>
  <c r="C17" i="7" l="1"/>
  <c r="C18" i="7" s="1"/>
  <c r="C22" i="7"/>
  <c r="C6" i="7"/>
  <c r="C31" i="7"/>
  <c r="C23" i="7" l="1"/>
  <c r="C37" i="7"/>
  <c r="C38" i="7" l="1"/>
  <c r="G182" i="6" l="1"/>
  <c r="G179" i="6" s="1"/>
  <c r="E182" i="6"/>
  <c r="F180" i="6"/>
  <c r="F179" i="6" s="1"/>
  <c r="E178" i="6"/>
  <c r="E177" i="6"/>
  <c r="D177" i="6" s="1"/>
  <c r="E176" i="6"/>
  <c r="D176" i="6" s="1"/>
  <c r="E171" i="6"/>
  <c r="D171" i="6" s="1"/>
  <c r="E170" i="6"/>
  <c r="D170" i="6" s="1"/>
  <c r="E169" i="6"/>
  <c r="D169" i="6" s="1"/>
  <c r="E168" i="6"/>
  <c r="E166" i="6"/>
  <c r="D166" i="6" s="1"/>
  <c r="E165" i="6"/>
  <c r="D165" i="6" s="1"/>
  <c r="E163" i="6"/>
  <c r="E161" i="6"/>
  <c r="D161" i="6" s="1"/>
  <c r="E159" i="6"/>
  <c r="D159" i="6" s="1"/>
  <c r="E158" i="6"/>
  <c r="E154" i="6"/>
  <c r="F150" i="6"/>
  <c r="D150" i="6" s="1"/>
  <c r="F149" i="6"/>
  <c r="D149" i="6" s="1"/>
  <c r="E146" i="6"/>
  <c r="D146" i="6" s="1"/>
  <c r="E142" i="6"/>
  <c r="E141" i="6" s="1"/>
  <c r="F142" i="6"/>
  <c r="E136" i="6"/>
  <c r="D136" i="6" s="1"/>
  <c r="E134" i="6"/>
  <c r="E132" i="6"/>
  <c r="E118" i="6"/>
  <c r="F118" i="6"/>
  <c r="E116" i="6"/>
  <c r="F111" i="6"/>
  <c r="E87" i="6"/>
  <c r="E71" i="6"/>
  <c r="E49" i="6"/>
  <c r="F43" i="6"/>
  <c r="E42" i="6"/>
  <c r="D42" i="6" s="1"/>
  <c r="E41" i="6"/>
  <c r="E35" i="6"/>
  <c r="D35" i="6" s="1"/>
  <c r="E33" i="6"/>
  <c r="F17" i="6"/>
  <c r="E15" i="6"/>
  <c r="D182" i="6" l="1"/>
  <c r="G6" i="6"/>
  <c r="B13" i="7" s="1"/>
  <c r="D178" i="6"/>
  <c r="D168" i="6"/>
  <c r="D167" i="6" s="1"/>
  <c r="E167" i="6"/>
  <c r="E162" i="6"/>
  <c r="D163" i="6"/>
  <c r="D162" i="6" s="1"/>
  <c r="D158" i="6"/>
  <c r="D157" i="6" s="1"/>
  <c r="E157" i="6"/>
  <c r="D154" i="6"/>
  <c r="D153" i="6" s="1"/>
  <c r="E153" i="6"/>
  <c r="E140" i="6"/>
  <c r="D142" i="6"/>
  <c r="D141" i="6" s="1"/>
  <c r="D140" i="6" s="1"/>
  <c r="F141" i="6"/>
  <c r="F140" i="6" s="1"/>
  <c r="D134" i="6"/>
  <c r="D133" i="6" s="1"/>
  <c r="E133" i="6"/>
  <c r="E131" i="6" s="1"/>
  <c r="D132" i="6"/>
  <c r="D118" i="6"/>
  <c r="D111" i="6"/>
  <c r="D106" i="6" s="1"/>
  <c r="F106" i="6"/>
  <c r="F95" i="6" s="1"/>
  <c r="D116" i="6"/>
  <c r="E95" i="6"/>
  <c r="E85" i="6"/>
  <c r="E76" i="6" s="1"/>
  <c r="D87" i="6"/>
  <c r="D85" i="6" s="1"/>
  <c r="D76" i="6" s="1"/>
  <c r="D71" i="6"/>
  <c r="D69" i="6" s="1"/>
  <c r="D68" i="6" s="1"/>
  <c r="E69" i="6"/>
  <c r="E68" i="6" s="1"/>
  <c r="D49" i="6"/>
  <c r="D48" i="6" s="1"/>
  <c r="D46" i="6" s="1"/>
  <c r="E48" i="6"/>
  <c r="E46" i="6" s="1"/>
  <c r="F39" i="6"/>
  <c r="F36" i="6" s="1"/>
  <c r="D43" i="6"/>
  <c r="D41" i="6"/>
  <c r="E39" i="6"/>
  <c r="E36" i="6" s="1"/>
  <c r="E32" i="6"/>
  <c r="E22" i="6" s="1"/>
  <c r="D33" i="6"/>
  <c r="D32" i="6" s="1"/>
  <c r="D22" i="6" s="1"/>
  <c r="F14" i="6"/>
  <c r="F8" i="6" s="1"/>
  <c r="D17" i="6"/>
  <c r="D15" i="6"/>
  <c r="E14" i="6"/>
  <c r="E8" i="6" s="1"/>
  <c r="E180" i="6"/>
  <c r="D13" i="7" l="1"/>
  <c r="B14" i="7"/>
  <c r="D14" i="7" s="1"/>
  <c r="B33" i="7"/>
  <c r="D33" i="7" s="1"/>
  <c r="E179" i="6"/>
  <c r="D180" i="6"/>
  <c r="D179" i="6" s="1"/>
  <c r="E152" i="6"/>
  <c r="D152" i="6"/>
  <c r="D131" i="6"/>
  <c r="D95" i="6"/>
  <c r="D39" i="6"/>
  <c r="D36" i="6" s="1"/>
  <c r="D14" i="6"/>
  <c r="D8" i="6" s="1"/>
  <c r="F6" i="6"/>
  <c r="B9" i="7" s="1"/>
  <c r="E6" i="6" l="1"/>
  <c r="D6" i="6"/>
  <c r="B32" i="7"/>
  <c r="D32" i="7" s="1"/>
  <c r="B10" i="7"/>
  <c r="D10" i="7" s="1"/>
  <c r="D9" i="7"/>
  <c r="B5" i="7" l="1"/>
  <c r="B31" i="7" s="1"/>
  <c r="B6" i="7"/>
  <c r="D6" i="7" s="1"/>
  <c r="B22" i="7"/>
  <c r="D5" i="7"/>
  <c r="B17" i="7" l="1"/>
  <c r="B18" i="7"/>
  <c r="D17" i="7"/>
  <c r="B23" i="7"/>
  <c r="D23" i="7" s="1"/>
  <c r="D22" i="7"/>
  <c r="B37" i="7"/>
  <c r="D31" i="7"/>
  <c r="B38" i="7" l="1"/>
  <c r="D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E49" authorId="0" shapeId="0" xr:uid="{673537FB-4E85-406C-8941-7CBD4D843C1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30 000 EUR rezerva</t>
        </r>
      </text>
    </comment>
    <comment ref="E50" authorId="0" shapeId="0" xr:uid="{BBBCFD2B-D4D3-4560-B842-7E0ADCDB75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45 770 EUR rezerva</t>
        </r>
      </text>
    </comment>
    <comment ref="E82" authorId="0" shapeId="0" xr:uid="{ECDC2E4A-ADED-4EF5-94D5-F38EB378BEC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25 000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  <author>kovacikova</author>
  </authors>
  <commentList>
    <comment ref="E10" authorId="0" shapeId="0" xr:uid="{723EC6F0-B55F-4D99-9BC0-C90E705AC1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rozvojový projekt:
rozpočet: 750 EUR zdroj 131N
skutočnosť: 750 EUR zdroj 131N</t>
        </r>
      </text>
    </comment>
    <comment ref="E11" authorId="0" shapeId="0" xr:uid="{C2077E2A-E10B-4C94-89DB-A03AA56169E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265 EUR zdroj 11UA
skutočnosť: 265 EUR zdroj 11UA</t>
        </r>
      </text>
    </comment>
    <comment ref="S11" authorId="0" shapeId="0" xr:uid="{4145D608-0C98-4E55-A0A6-B8677D14A7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+ 5 900 EUR</t>
        </r>
      </text>
    </comment>
    <comment ref="T11" authorId="0" shapeId="0" xr:uid="{15429D76-5E9C-41A4-8684-E788A24FC456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12 000 EUR</t>
        </r>
      </text>
    </comment>
    <comment ref="E12" authorId="0" shapeId="0" xr:uid="{04BB63E6-B055-4A75-BDE4-9C25C13EF10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2 111 EUR zdroj 11UA
skutočnosť:2 110,21 EUR zdroj 11UA</t>
        </r>
      </text>
    </comment>
    <comment ref="L12" authorId="0" shapeId="0" xr:uid="{C351805E-F003-4DF1-9961-BC26386EEEE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M12" authorId="0" shapeId="0" xr:uid="{79F9EB61-FDB3-43D1-86CC-E22FA78B5BB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S12" authorId="0" shapeId="0" xr:uid="{B26BCF2C-4BA7-4FF0-8F32-2AC7DC5241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+3 300 EUR</t>
        </r>
      </text>
    </comment>
    <comment ref="E14" authorId="0" shapeId="0" xr:uid="{DA44F900-C095-4B64-949B-751DDB562D3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750 EUR zdroj 131N
skutočnosť: 750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</t>
        </r>
      </text>
    </comment>
    <comment ref="S14" authorId="0" shapeId="0" xr:uid="{AEFCDD83-DDF2-43B8-8F33-3CA21C62100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+2 400 EUR</t>
        </r>
      </text>
    </comment>
    <comment ref="E15" authorId="0" shapeId="0" xr:uid="{84C8B566-62EC-4581-8614-DA0ED5ACEF3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>:
rozpočet: 1 000 EUR zdroj 131N
skutočnosť: 1 000 EUR zdroj 131N</t>
        </r>
      </text>
    </comment>
    <comment ref="S15" authorId="0" shapeId="0" xr:uid="{80D94001-D631-49CB-8F3B-D0C42B988B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+2 200 EUR</t>
        </r>
      </text>
    </comment>
    <comment ref="T15" authorId="0" shapeId="0" xr:uid="{8B7ED3DD-2BD0-4EE8-83DE-4808FDC17B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78 000 EUR</t>
        </r>
      </text>
    </comment>
    <comment ref="E16" authorId="0" shapeId="0" xr:uid="{1E79CFA4-6CA0-41CA-8236-599DD36F8F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 xml:space="preserve">: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
</t>
        </r>
        <r>
          <rPr>
            <b/>
            <sz val="9"/>
            <color indexed="81"/>
            <rFont val="Segoe UI"/>
            <family val="2"/>
            <charset val="238"/>
          </rPr>
          <t>predškoláci z roku 2023</t>
        </r>
        <r>
          <rPr>
            <sz val="9"/>
            <color indexed="81"/>
            <rFont val="Segoe UI"/>
            <family val="2"/>
            <charset val="238"/>
          </rPr>
          <t>:
rozpočet: 1 612 EUR zdroj 131N
skutočnosť: 1 611,87 EUR zdroj 131N</t>
        </r>
      </text>
    </comment>
    <comment ref="S16" authorId="0" shapeId="0" xr:uid="{C91C8502-BCEB-4112-93D8-E2249BF89A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+1 800 EUR</t>
        </r>
      </text>
    </comment>
    <comment ref="D19" authorId="0" shapeId="0" xr:uid="{B0D25126-97F7-4A2E-9B36-8254C633C37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- 15 775 EUR
111 - 463 445 EUR</t>
        </r>
      </text>
    </comment>
    <comment ref="E19" authorId="0" shapeId="0" xr:uid="{98A84E0E-6BE4-4C78-A6BA-875D58B70F8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707 EUR zdroj 11UA
skutočnosť: 707 EUR zdroj 11UA</t>
        </r>
      </text>
    </comment>
    <comment ref="T19" authorId="0" shapeId="0" xr:uid="{EB01F13B-64B3-4CF7-8E89-EA518D5C6E7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50 000 EUR
</t>
        </r>
      </text>
    </comment>
    <comment ref="D20" authorId="0" shapeId="0" xr:uid="{8E4F22ED-B461-4AE2-B57A-DC5CF50BF2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- 23 876 EUR
111 - 991 944 EUR</t>
        </r>
      </text>
    </comment>
    <comment ref="E20" authorId="0" shapeId="0" xr:uid="{75282E08-68AD-4A63-94B4-D5C2BB8ECD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973 EUR zdroj 11UA
skutočnosť: 973 EUR zdroj 11UA</t>
        </r>
      </text>
    </comment>
    <comment ref="M20" authorId="0" shapeId="0" xr:uid="{53E3C202-573D-413F-B412-4775A4AFB39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vlastných príjmov</t>
        </r>
      </text>
    </comment>
    <comment ref="T20" authorId="0" shapeId="0" xr:uid="{2E3D66C8-D7B2-4935-97E1-A6755D03966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40 000 EUR</t>
        </r>
      </text>
    </comment>
    <comment ref="D21" authorId="0" shapeId="0" xr:uid="{D05B1BA5-842D-4645-BDDD-863376318BD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- 29 516 EUR
111 - 1 518 164 EUR</t>
        </r>
      </text>
    </comment>
    <comment ref="E21" authorId="0" shapeId="0" xr:uid="{0C584D9F-3DB8-41A1-826C-693055CB07B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1 592 EUR zdroj 11UA
skutočnosť:1 592 EUR zdroj 11UA</t>
        </r>
      </text>
    </comment>
    <comment ref="G21" authorId="0" shapeId="0" xr:uid="{8BCF6271-793F-4B8E-B6A8-97EA0837594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2 340 EUR POP Murgaša z roku 2023 rozpočet 1BB1 - 1 988 EUR
                1BB2 - 352 EUR
skutočnosť 1BB1 - 1 987,20 EUR
                     1BB2 - 351,29 EUR</t>
        </r>
      </text>
    </comment>
    <comment ref="S21" authorId="0" shapeId="0" xr:uid="{2EF30DBB-229E-4A47-BBD8-75E7E35E4BA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+15 000 EUR</t>
        </r>
      </text>
    </comment>
    <comment ref="T21" authorId="0" shapeId="0" xr:uid="{61DD5BAC-5FB5-4DE1-9EF9-207530C3060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125 000 EUR
</t>
        </r>
      </text>
    </comment>
    <comment ref="D22" authorId="0" shapeId="0" xr:uid="{09CF39CB-4916-433C-A740-44EE64A872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- 53 722 EUR
111 - 1 284 798 EUR</t>
        </r>
      </text>
    </comment>
    <comment ref="E22" authorId="0" shapeId="0" xr:uid="{A5569006-FE9B-4FC1-90A7-4422B5D9376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1 500 EUR zdroj 131N
skutočnosť: 1 500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1 327 EUR zdroj 11UA
skutočnosť:1 327 EUR zdroj 11UA</t>
        </r>
      </text>
    </comment>
    <comment ref="S22" authorId="0" shapeId="0" xr:uid="{E9B0A6F2-F0DB-4560-BB25-B90340842F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+5 400 EUR</t>
        </r>
      </text>
    </comment>
    <comment ref="T22" authorId="0" shapeId="0" xr:uid="{6F7EE4D2-10FB-4BCA-B58C-D2CE570134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150 000 EUR POP
+ 4 800EUR
</t>
        </r>
      </text>
    </comment>
    <comment ref="D23" authorId="0" shapeId="0" xr:uid="{D69DBF17-19DD-43B0-B85C-CFBA4D14AE5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- 14 352 EUR
111 - 1 104 968 EUR</t>
        </r>
      </text>
    </comment>
    <comment ref="E23" authorId="0" shapeId="0" xr:uid="{FACF44F0-A18A-421E-9457-114AAA9C85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2 742 EUR zdroj 11UA
skutočnosť: 2 742 EUR zdroj 11UA</t>
        </r>
      </text>
    </comment>
    <comment ref="M23" authorId="0" shapeId="0" xr:uid="{AEDBC430-DB0B-4CA7-9224-29D2DC39DA5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60 000 EUR z roku 2023 zdroj 131 N</t>
        </r>
      </text>
    </comment>
    <comment ref="T23" authorId="0" shapeId="0" xr:uid="{D34F7E04-75E6-4E04-B265-A2011876FBC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105 000 EUR
        + 16 000 EUR = 121 000 EUR POP</t>
        </r>
      </text>
    </comment>
    <comment ref="D24" authorId="0" shapeId="0" xr:uid="{23EBF757-D55A-4B11-8FEA-F05C1017F95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- 8 070 EUR
111 -595 370 EUR</t>
        </r>
      </text>
    </comment>
    <comment ref="T24" authorId="0" shapeId="0" xr:uid="{15FD2BD0-C859-451D-8DD4-554DA859CA2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20 000 EUR</t>
        </r>
      </text>
    </comment>
    <comment ref="S26" authorId="0" shapeId="0" xr:uid="{664002D2-5500-4A07-A520-B4DB3D44163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+10 000 EUR</t>
        </r>
      </text>
    </comment>
    <comment ref="E27" authorId="0" shapeId="0" xr:uid="{C1F5302F-7AF2-4BAE-8FFC-99B74FAE03C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111 - 2 016 EUR</t>
        </r>
      </text>
    </comment>
    <comment ref="E30" authorId="0" shapeId="0" xr:uid="{71932A01-F4E4-416D-AF6A-8B622D5C6B3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4 023 EUR z roku 2023, zdroj 131 N
           45 347 EUR príjem v roku 2024</t>
        </r>
      </text>
    </comment>
    <comment ref="E31" authorId="0" shapeId="0" xr:uid="{903DC1B5-E9E9-4969-B8F3-F788D099DB0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1 612 EUR z roku 2023, zdroj 131 N
           215 238 EUR príjem v roku 2024</t>
        </r>
      </text>
    </comment>
    <comment ref="E36" authorId="0" shapeId="0" xr:uid="{CB4902CF-473C-43B1-8DB9-C1F2C0EA018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roku 2023 zdroj 131 N</t>
        </r>
      </text>
    </comment>
    <comment ref="E43" authorId="0" shapeId="0" xr:uid="{945F03E0-40BD-4239-857C-C68E4A90CCA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10 425 EUR z roku 2023
            183 109 EUR príjem v roku 2024</t>
        </r>
      </text>
    </comment>
    <comment ref="D46" authorId="0" shapeId="0" xr:uid="{90640D8F-9A7A-46B4-8E16-8743B3335A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rezerva 145 311 EUR
z 96 000 EUR na 241 311 EUR</t>
        </r>
      </text>
    </comment>
    <comment ref="G46" authorId="1" shapeId="0" xr:uid="{9B0DD6D0-EC32-4CDC-9D7C-02E26701173B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30 000 EUR
300: 25 000 EUR</t>
        </r>
      </text>
    </comment>
    <comment ref="I46" authorId="0" shapeId="0" xr:uid="{E26E8039-EDAE-4C35-AA65-A8730962AF2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19 000 EUR rezerva
74 650 EUR vrátené stravné z roku 2023</t>
        </r>
      </text>
    </comment>
  </commentList>
</comments>
</file>

<file path=xl/sharedStrings.xml><?xml version="1.0" encoding="utf-8"?>
<sst xmlns="http://schemas.openxmlformats.org/spreadsheetml/2006/main" count="975" uniqueCount="659">
  <si>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</si>
  <si>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</si>
  <si>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</si>
  <si>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</si>
  <si>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</si>
  <si>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</si>
  <si>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</si>
  <si>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</si>
  <si>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</si>
  <si>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</si>
  <si>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</si>
  <si>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</si>
  <si>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</si>
  <si>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</si>
  <si>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</si>
  <si>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</si>
  <si>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</si>
  <si>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</si>
  <si>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</si>
  <si>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</si>
  <si>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</si>
  <si>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</si>
  <si>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</si>
  <si>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</si>
  <si>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</si>
  <si>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</si>
  <si>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</si>
  <si>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</si>
  <si>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</si>
  <si>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</si>
  <si>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</si>
  <si>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</si>
  <si>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</si>
  <si>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</si>
  <si>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</si>
  <si>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</si>
  <si>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</si>
  <si>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</si>
  <si>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</si>
  <si>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</si>
  <si>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</si>
  <si>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</si>
  <si>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</si>
  <si>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</si>
  <si>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</si>
  <si>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</si>
  <si>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</si>
  <si>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</si>
  <si>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</si>
  <si>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</si>
  <si>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</si>
  <si>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</si>
  <si>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</si>
  <si>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</si>
  <si>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</si>
  <si>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</si>
  <si>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</si>
  <si>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</si>
  <si>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</si>
  <si>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</si>
  <si>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</si>
  <si>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</si>
  <si>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</si>
  <si>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</si>
  <si>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</si>
  <si>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</si>
  <si>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</si>
  <si>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</si>
  <si>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</si>
  <si>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</si>
  <si>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</si>
  <si>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</si>
  <si>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</si>
  <si>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</si>
  <si>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</si>
  <si>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</si>
  <si>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</si>
  <si>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</si>
  <si>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</si>
  <si>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</si>
  <si>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</si>
  <si>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</si>
  <si>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</si>
  <si>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</si>
  <si>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</si>
  <si>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</si>
  <si>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</si>
  <si>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</si>
  <si>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</si>
  <si>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</si>
  <si>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</si>
  <si>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</si>
  <si>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</si>
  <si>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</si>
  <si>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</si>
  <si>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</si>
  <si>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</si>
  <si>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</si>
  <si>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</si>
  <si>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</si>
  <si>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</si>
  <si>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</si>
  <si>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</si>
  <si>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</si>
  <si>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</si>
  <si>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</si>
  <si>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</si>
  <si>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</si>
  <si>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</si>
  <si>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</si>
  <si>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</si>
  <si>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</si>
  <si>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</si>
  <si>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</si>
  <si>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</si>
  <si>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</si>
  <si>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</si>
  <si>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</si>
  <si>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</si>
  <si>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</si>
  <si>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</si>
  <si>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</si>
  <si>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</si>
  <si>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</si>
  <si>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</si>
  <si>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</si>
  <si>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</si>
  <si>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</si>
  <si>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</si>
  <si>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</si>
  <si>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</si>
  <si>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</si>
  <si>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</si>
  <si>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</si>
  <si>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</si>
  <si>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</si>
  <si>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</si>
  <si>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</si>
  <si>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</si>
  <si>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</si>
  <si>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</si>
  <si>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</si>
  <si>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</si>
  <si>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</si>
  <si>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</si>
  <si>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</si>
  <si>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</si>
  <si>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</si>
  <si>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</si>
  <si>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</si>
  <si>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</si>
  <si>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</si>
  <si>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</si>
  <si>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</si>
  <si>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</si>
  <si>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</si>
  <si>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</si>
  <si>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</si>
  <si>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</si>
  <si>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</si>
  <si>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</si>
  <si>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</si>
  <si>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</si>
  <si>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</si>
  <si>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</si>
  <si>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</si>
  <si>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</si>
  <si>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</si>
  <si>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</si>
  <si>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</si>
  <si>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</si>
  <si>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</si>
  <si>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</si>
  <si>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</si>
  <si>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</si>
  <si>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</si>
  <si>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</si>
  <si>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</si>
  <si>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</si>
  <si>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</si>
  <si>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</si>
  <si>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</si>
  <si>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</si>
  <si>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</si>
  <si>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</si>
  <si>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</si>
  <si>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</si>
  <si>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</si>
  <si>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</si>
  <si>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</si>
  <si>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</si>
  <si>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</si>
  <si>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</si>
  <si>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</si>
  <si>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</si>
  <si>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</si>
  <si>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</si>
  <si>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</si>
  <si>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</si>
  <si>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</si>
  <si>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</si>
  <si>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</si>
  <si>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</si>
  <si>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</si>
  <si>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</si>
  <si>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</si>
  <si>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</si>
  <si>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</si>
  <si>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</si>
  <si>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</si>
  <si>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</si>
  <si>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</si>
  <si>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</si>
  <si>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</si>
  <si>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</si>
  <si>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</si>
  <si>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</si>
  <si>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</si>
  <si>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</si>
  <si>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</si>
  <si>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</si>
  <si>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</si>
  <si>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</si>
  <si>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</si>
  <si>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</si>
  <si>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</si>
  <si>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</si>
  <si>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</si>
  <si>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</si>
  <si>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</si>
  <si>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</si>
  <si>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</si>
  <si>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</si>
  <si>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</si>
  <si>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</si>
  <si>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</si>
  <si>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</si>
  <si>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</si>
  <si>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</si>
  <si>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</si>
  <si>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</si>
  <si>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</si>
  <si>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</si>
  <si>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</si>
  <si>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</si>
  <si>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</si>
  <si>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</si>
  <si>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</si>
  <si>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</si>
  <si>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</si>
  <si>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</si>
  <si>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</si>
  <si>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</si>
  <si>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</si>
  <si>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</si>
  <si>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</si>
  <si>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</si>
  <si>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</si>
  <si>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</si>
  <si>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</si>
  <si>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</si>
  <si>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</si>
  <si>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</si>
  <si>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</si>
  <si>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</si>
  <si>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</si>
  <si>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</si>
  <si>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</si>
  <si>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</si>
  <si>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</si>
  <si>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</si>
  <si>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</si>
  <si>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</si>
  <si>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</si>
  <si>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</si>
  <si>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</si>
  <si>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</si>
  <si>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</si>
  <si>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</si>
  <si>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</si>
  <si>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</si>
  <si>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</si>
  <si>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</si>
  <si>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</si>
  <si>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</si>
  <si>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</si>
  <si>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</si>
  <si>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</si>
  <si>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</si>
  <si>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</si>
  <si>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</si>
  <si>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</si>
  <si>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</si>
  <si>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</si>
  <si>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</si>
  <si>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</si>
  <si>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</si>
  <si>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</si>
  <si>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</si>
  <si>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</si>
  <si>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</si>
  <si>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</si>
  <si>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</si>
  <si>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</si>
  <si>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</si>
  <si>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</si>
  <si>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</si>
  <si>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</si>
  <si>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</si>
  <si>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</si>
  <si>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</si>
  <si>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</si>
  <si>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</si>
  <si>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</si>
  <si>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</si>
  <si>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</si>
  <si>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</si>
  <si>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</si>
  <si>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</si>
  <si>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</si>
  <si>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</si>
  <si>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</si>
  <si>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</si>
  <si>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</si>
  <si>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</si>
  <si>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</si>
  <si>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</si>
  <si>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</si>
  <si>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</si>
  <si>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</si>
  <si>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</si>
  <si>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</si>
  <si>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</si>
  <si>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</si>
  <si>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</si>
  <si>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</si>
  <si>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</si>
  <si>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</si>
  <si>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</si>
  <si>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</si>
  <si>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</si>
  <si>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</si>
  <si>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</si>
  <si>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</si>
  <si>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</si>
  <si>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</si>
  <si>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</si>
  <si>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</si>
  <si>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</si>
  <si>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</si>
  <si>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</si>
  <si>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</si>
  <si>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</si>
  <si>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</si>
  <si>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</si>
  <si>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</si>
  <si>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</si>
  <si>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</si>
  <si>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</si>
  <si>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</si>
  <si>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</si>
  <si>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</si>
  <si>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</si>
  <si>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</si>
  <si>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</si>
  <si>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</si>
  <si>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</si>
  <si>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</si>
  <si>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</si>
  <si>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</si>
  <si>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</si>
  <si>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</si>
  <si>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</si>
  <si>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</si>
  <si>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</si>
  <si>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</si>
  <si>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</si>
  <si>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</si>
  <si>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</si>
  <si>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</si>
  <si>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</si>
  <si>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</si>
  <si>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</si>
  <si>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</si>
  <si>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</si>
  <si>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</si>
  <si>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</si>
  <si>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</si>
  <si>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</si>
  <si>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</si>
  <si>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</si>
  <si>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</si>
  <si>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</si>
  <si>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</si>
  <si>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</si>
  <si>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</si>
  <si>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</si>
  <si>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</si>
  <si>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</si>
  <si>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</si>
  <si>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</si>
  <si>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</si>
  <si>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</si>
  <si>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</si>
  <si>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</si>
  <si>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</si>
  <si>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</si>
  <si>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</si>
  <si>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</si>
  <si>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</si>
  <si>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</si>
  <si>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</si>
  <si>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</si>
  <si>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</si>
  <si>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</si>
  <si>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</si>
  <si>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</si>
  <si>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</si>
  <si>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</si>
  <si>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</si>
  <si>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</si>
  <si>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</si>
  <si>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</si>
  <si>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</si>
  <si>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</si>
  <si>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</si>
  <si>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</si>
  <si>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</si>
  <si>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</si>
  <si>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</si>
  <si>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</si>
  <si>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</si>
  <si>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</si>
  <si>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</si>
  <si>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</si>
  <si>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</si>
  <si>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</si>
  <si>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</si>
  <si>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</si>
  <si>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</si>
  <si>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</si>
  <si>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</si>
  <si>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</si>
  <si>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</si>
  <si>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10.</t>
  </si>
  <si>
    <t>Domov dôchodcov - rozpočtová org.</t>
  </si>
  <si>
    <t>Zariadenie pre seniorov</t>
  </si>
  <si>
    <t xml:space="preserve">311 Grant pontis </t>
  </si>
  <si>
    <t>311 grant - dobrovol. požiarny zbor</t>
  </si>
  <si>
    <t xml:space="preserve"> plnenie 2016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</si>
  <si>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</si>
  <si>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</si>
  <si>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</si>
  <si>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</si>
  <si>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</si>
  <si>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</si>
  <si>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</si>
  <si>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450 rezervný fond</t>
  </si>
  <si>
    <t>453 účelovo viazané prostriedky z pred. Rokov</t>
  </si>
  <si>
    <t>Tenis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</si>
  <si>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</si>
  <si>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</si>
  <si>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</si>
  <si>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</si>
  <si>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</si>
  <si>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</si>
  <si>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</si>
  <si>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</si>
  <si>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</si>
  <si>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</si>
  <si>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</si>
  <si>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</si>
  <si>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</si>
  <si>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</si>
  <si>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</si>
  <si>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</si>
  <si>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</si>
  <si>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</si>
  <si>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</si>
  <si>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</si>
  <si>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</si>
  <si>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</si>
  <si>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</si>
  <si>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</si>
  <si>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</si>
  <si>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</si>
  <si>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</si>
  <si>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</si>
  <si>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</si>
  <si>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</si>
  <si>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</si>
  <si>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</si>
  <si>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</si>
  <si>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</si>
  <si>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</si>
  <si>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</si>
  <si>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</si>
  <si>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</si>
  <si>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</si>
  <si>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</si>
  <si>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</si>
  <si>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</si>
  <si>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</si>
  <si>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</si>
  <si>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</si>
  <si>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</si>
  <si>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</si>
  <si>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</si>
  <si>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</si>
  <si>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</si>
  <si>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</si>
  <si>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</si>
  <si>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</si>
  <si>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</si>
  <si>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</si>
  <si>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</si>
  <si>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</si>
  <si>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</si>
  <si>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</si>
  <si>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</si>
  <si>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</si>
  <si>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</si>
  <si>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</si>
  <si>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</si>
  <si>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</si>
  <si>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</si>
  <si>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</si>
  <si>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</si>
  <si>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</si>
  <si>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</si>
  <si>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</si>
  <si>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</si>
  <si>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</si>
  <si>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 xml:space="preserve"> plnenie 2017</t>
  </si>
  <si>
    <t>311 grant ZsE</t>
  </si>
  <si>
    <t>321 dotácia cyklotrasa</t>
  </si>
  <si>
    <t>456 zábezpeka byty</t>
  </si>
  <si>
    <t>DD - kapitálové výdavky</t>
  </si>
  <si>
    <t xml:space="preserve"> plnenie  2018</t>
  </si>
  <si>
    <t>450 fond rozvoja bývania, fond opráv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</si>
  <si>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</si>
  <si>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</si>
  <si>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</si>
  <si>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</si>
  <si>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</si>
  <si>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311 grant Nórske fondy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</si>
  <si>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</si>
  <si>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</si>
  <si>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</si>
  <si>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</si>
  <si>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</si>
  <si>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</si>
  <si>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</si>
  <si>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</si>
  <si>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</si>
  <si>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</si>
  <si>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</si>
  <si>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</si>
  <si>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</si>
  <si>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</si>
  <si>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</si>
  <si>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</si>
  <si>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</si>
  <si>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</si>
  <si>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</si>
  <si>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</si>
  <si>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</si>
  <si>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</si>
  <si>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</si>
  <si>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</si>
  <si>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</si>
  <si>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</si>
  <si>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</si>
  <si>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</si>
  <si>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</si>
  <si>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</si>
  <si>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</si>
  <si>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</si>
  <si>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</si>
  <si>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</si>
  <si>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</si>
  <si>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</si>
  <si>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</si>
  <si>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</si>
  <si>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- lesopark, ZŠ Ľ. Štúra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</si>
  <si>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</si>
  <si>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</si>
  <si>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</si>
  <si>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</si>
  <si>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hranie</t>
  </si>
  <si>
    <t>312 dotácie voľby, referendum, sčítanie</t>
  </si>
  <si>
    <t>Program</t>
  </si>
  <si>
    <t>292 refundácie, kolky, ostatné príjmy, Nemčeková, vec. bremeno</t>
  </si>
  <si>
    <t>321 dotácia prenesené kompetencie - školstvo havárie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</si>
  <si>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</si>
  <si>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</si>
  <si>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</si>
  <si>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</si>
  <si>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</si>
  <si>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</si>
  <si>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</si>
  <si>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</si>
  <si>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</si>
  <si>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</si>
  <si>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</si>
  <si>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321 dotácia SMART</t>
  </si>
  <si>
    <t>13.</t>
  </si>
  <si>
    <t>Lyžiarsky výcvik</t>
  </si>
  <si>
    <t>456 mesto ako osobitný príjemca,transparentný účet</t>
  </si>
  <si>
    <t>Podprog 13.10.</t>
  </si>
  <si>
    <t>Podprog 13.9</t>
  </si>
  <si>
    <t>Pomoc Ukrajine</t>
  </si>
  <si>
    <t>312 dotácia Ukrajina</t>
  </si>
  <si>
    <t>Lesopark, akčný plán, vyňatie pôdy</t>
  </si>
  <si>
    <t>rozvojové projekty</t>
  </si>
  <si>
    <t>plán obnovy a odolnosti</t>
  </si>
  <si>
    <t>Nízkoprahové denné centrum</t>
  </si>
  <si>
    <t>311 grant SMART</t>
  </si>
  <si>
    <t>311 grant kybernetická bezpečnosť</t>
  </si>
  <si>
    <t>321 dotácia predstaničný priestor</t>
  </si>
  <si>
    <t>Predstaničný priestor</t>
  </si>
  <si>
    <t>KV školstvo</t>
  </si>
  <si>
    <t>špecifiká - UA</t>
  </si>
  <si>
    <t>9.</t>
  </si>
  <si>
    <t>Automobil - terénna. opatrov. strarostlivosť</t>
  </si>
  <si>
    <t>11.</t>
  </si>
  <si>
    <t>MŠ Budovateľská</t>
  </si>
  <si>
    <t>rozpočet 2024</t>
  </si>
  <si>
    <t>plnenie 2024</t>
  </si>
  <si>
    <t>skutočnosť 2024</t>
  </si>
  <si>
    <t>plnenie rozpočtu 2024</t>
  </si>
  <si>
    <t>investície 2024</t>
  </si>
  <si>
    <t>čerpanie 2024</t>
  </si>
  <si>
    <t>Tabuľka č. 4 Investície 2024</t>
  </si>
  <si>
    <t>Rozpočet 2024</t>
  </si>
  <si>
    <t>292 parkovné</t>
  </si>
  <si>
    <t>Cyklotrasa</t>
  </si>
  <si>
    <t>čítame radi</t>
  </si>
  <si>
    <t>2024</t>
  </si>
  <si>
    <t>ZŠ Hollého</t>
  </si>
  <si>
    <t>DK</t>
  </si>
  <si>
    <t>Plaváreň</t>
  </si>
  <si>
    <t>Tabuľka č. 1 Plnenie  príjmov rozpočtu v roku 2024</t>
  </si>
  <si>
    <t>ZŠ Ľ. Štúra</t>
  </si>
  <si>
    <t xml:space="preserve">  Tabuľka č. 2 Čerpanie výdavkov rozpočtu v roku 2024</t>
  </si>
  <si>
    <t>Tabuľka č. 3 Sumár príjmov a výdavkov rozpočtu v roku 2024</t>
  </si>
  <si>
    <t>321 dotácia NsK</t>
  </si>
  <si>
    <t>Bežné výdavky - projekty</t>
  </si>
  <si>
    <t>3.</t>
  </si>
  <si>
    <t>Výkup pozemkov - cyklotrasa</t>
  </si>
  <si>
    <t>MŠ Hollého</t>
  </si>
  <si>
    <t>15.</t>
  </si>
  <si>
    <t>klimatizácia MsÚ</t>
  </si>
  <si>
    <t>12.</t>
  </si>
  <si>
    <t>Cintorín - kolumbárium</t>
  </si>
  <si>
    <t>ZŠ Murgaša</t>
  </si>
  <si>
    <t>MŠ Družstevná</t>
  </si>
  <si>
    <t>MŠ 8. mája</t>
  </si>
  <si>
    <t>ZŠ J.C. Hronského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</si>
</sst>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29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3" fontId="55" fillId="0" borderId="7" xfId="0" applyNumberFormat="1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3" fontId="55" fillId="0" borderId="5" xfId="0" applyNumberFormat="1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3" fontId="55" fillId="0" borderId="13" xfId="0" applyNumberFormat="1" applyFont="1" applyBorder="1"/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0" fontId="55" fillId="0" borderId="84" xfId="0" applyFont="1" applyBorder="1" applyAlignment="1">
      <alignment horizontal="left"/>
    </xf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55" fillId="0" borderId="6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3" fontId="14" fillId="0" borderId="86" xfId="1" applyNumberFormat="1" applyFont="1" applyBorder="1" applyAlignment="1">
      <alignment horizontal="center" wrapText="1"/>
    </xf>
    <xf numFmtId="3" fontId="37" fillId="0" borderId="125" xfId="1" applyNumberFormat="1" applyFont="1" applyBorder="1"/>
    <xf numFmtId="3" fontId="37" fillId="0" borderId="126" xfId="1" applyNumberFormat="1" applyFont="1" applyBorder="1"/>
    <xf numFmtId="0" fontId="37" fillId="0" borderId="0" xfId="1" applyFont="1"/>
    <xf numFmtId="3" fontId="37" fillId="0" borderId="127" xfId="1" applyNumberFormat="1" applyFont="1" applyBorder="1"/>
    <xf numFmtId="0" fontId="60" fillId="0" borderId="0" xfId="0" applyFont="1"/>
    <xf numFmtId="3" fontId="51" fillId="0" borderId="68" xfId="1" applyNumberFormat="1" applyFont="1" applyBorder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99" xfId="5" applyNumberForma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7" fillId="0" borderId="161" xfId="5" applyNumberFormat="1" applyFont="1" applyBorder="1"/>
    <xf numFmtId="49" fontId="68" fillId="0" borderId="97" xfId="3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7" xfId="5" applyNumberFormat="1" applyBorder="1"/>
    <xf numFmtId="3" fontId="1" fillId="0" borderId="98" xfId="5" applyNumberFormat="1" applyBorder="1"/>
    <xf numFmtId="49" fontId="68" fillId="0" borderId="72" xfId="3" applyNumberFormat="1" applyFont="1" applyBorder="1"/>
    <xf numFmtId="3" fontId="65" fillId="0" borderId="56" xfId="3" applyNumberFormat="1" applyFont="1" applyBorder="1"/>
    <xf numFmtId="3" fontId="1" fillId="0" borderId="72" xfId="5" applyNumberFormat="1" applyBorder="1"/>
    <xf numFmtId="3" fontId="1" fillId="0" borderId="56" xfId="5" applyNumberFormat="1" applyBorder="1"/>
    <xf numFmtId="49" fontId="68" fillId="0" borderId="99" xfId="3" applyNumberFormat="1" applyFon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34" fillId="0" borderId="13" xfId="0" applyNumberFormat="1" applyFont="1" applyBorder="1"/>
    <xf numFmtId="3" fontId="1" fillId="0" borderId="125" xfId="5" applyNumberFormat="1" applyBorder="1"/>
    <xf numFmtId="3" fontId="7" fillId="0" borderId="86" xfId="5" applyNumberFormat="1" applyFont="1" applyBorder="1" applyAlignment="1">
      <alignment horizontal="right"/>
    </xf>
    <xf numFmtId="3" fontId="1" fillId="0" borderId="115" xfId="5" applyNumberFormat="1" applyBorder="1"/>
    <xf numFmtId="3" fontId="7" fillId="0" borderId="86" xfId="5" applyNumberFormat="1" applyFont="1" applyBorder="1"/>
    <xf numFmtId="3" fontId="1" fillId="0" borderId="172" xfId="5" applyNumberForma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7" fillId="0" borderId="130" xfId="5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70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3" fontId="1" fillId="0" borderId="137" xfId="5" applyNumberFormat="1" applyBorder="1"/>
    <xf numFmtId="3" fontId="1" fillId="0" borderId="160" xfId="5" applyNumberForma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3" fontId="56" fillId="0" borderId="0" xfId="0" applyNumberFormat="1" applyFont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132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65" fillId="0" borderId="163" xfId="0" applyNumberFormat="1" applyFont="1" applyBorder="1"/>
    <xf numFmtId="3" fontId="65" fillId="0" borderId="146" xfId="0" applyNumberFormat="1" applyFont="1" applyBorder="1"/>
    <xf numFmtId="3" fontId="65" fillId="0" borderId="166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31" fillId="0" borderId="149" xfId="3" applyFont="1" applyBorder="1"/>
    <xf numFmtId="0" fontId="31" fillId="0" borderId="78" xfId="3" applyFont="1" applyBorder="1"/>
    <xf numFmtId="0" fontId="31" fillId="0" borderId="145" xfId="3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4" fontId="34" fillId="0" borderId="13" xfId="0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4" fontId="20" fillId="0" borderId="86" xfId="1" applyNumberFormat="1" applyFont="1" applyBorder="1" applyAlignment="1">
      <alignment horizontal="center" wrapText="1"/>
    </xf>
    <xf numFmtId="3" fontId="44" fillId="0" borderId="87" xfId="1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51" fillId="0" borderId="138" xfId="1" applyNumberFormat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31" fillId="0" borderId="73" xfId="3" applyNumberFormat="1" applyFont="1" applyBorder="1"/>
    <xf numFmtId="3" fontId="65" fillId="0" borderId="69" xfId="3" applyNumberFormat="1" applyFont="1" applyBorder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67" fillId="0" borderId="95" xfId="3" applyNumberFormat="1" applyFont="1" applyBorder="1"/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38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65" fillId="0" borderId="92" xfId="0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3" fontId="65" fillId="0" borderId="132" xfId="0" applyNumberFormat="1" applyFont="1" applyBorder="1"/>
    <xf numFmtId="0" fontId="31" fillId="0" borderId="92" xfId="3" applyFont="1" applyBorder="1" applyAlignment="1">
      <alignment horizontal="center" vertical="center" wrapText="1"/>
    </xf>
    <xf numFmtId="3" fontId="1" fillId="0" borderId="164" xfId="5" applyNumberForma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136" xfId="3" applyNumberFormat="1" applyFont="1" applyBorder="1"/>
    <xf numFmtId="3" fontId="65" fillId="0" borderId="62" xfId="3" applyNumberFormat="1" applyFont="1" applyBorder="1"/>
    <xf numFmtId="3" fontId="1" fillId="0" borderId="162" xfId="5" applyNumberFormat="1" applyBorder="1"/>
    <xf numFmtId="3" fontId="31" fillId="0" borderId="72" xfId="3" applyNumberFormat="1" applyFont="1" applyBorder="1"/>
    <xf numFmtId="3" fontId="1" fillId="0" borderId="125" xfId="3" applyNumberFormat="1" applyBorder="1"/>
    <xf numFmtId="3" fontId="31" fillId="0" borderId="99" xfId="3" applyNumberFormat="1" applyFont="1" applyBorder="1"/>
    <xf numFmtId="3" fontId="65" fillId="0" borderId="71" xfId="3" applyNumberFormat="1" applyFont="1" applyBorder="1"/>
    <xf numFmtId="3" fontId="65" fillId="0" borderId="7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0" fontId="13" fillId="0" borderId="127" xfId="0" applyFont="1" applyBorder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7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0" fontId="55" fillId="0" borderId="84" xfId="0" applyFont="1" applyBorder="1" applyAlignment="1">
      <alignment horizontal="center" vertical="center"/>
    </xf>
    <xf numFmtId="3" fontId="65" fillId="0" borderId="151" xfId="3" applyNumberFormat="1" applyFont="1" applyBorder="1"/>
    <xf numFmtId="3" fontId="65" fillId="0" borderId="63" xfId="3" applyNumberFormat="1" applyFont="1" applyBorder="1"/>
    <xf numFmtId="3" fontId="65" fillId="0" borderId="65" xfId="3" applyNumberFormat="1" applyFont="1" applyBorder="1"/>
    <xf numFmtId="3" fontId="65" fillId="0" borderId="9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123" xfId="3" applyNumberFormat="1" applyFont="1" applyBorder="1"/>
    <xf numFmtId="3" fontId="65" fillId="0" borderId="77" xfId="3" applyNumberFormat="1" applyFont="1" applyBorder="1"/>
    <xf numFmtId="3" fontId="65" fillId="0" borderId="156" xfId="3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3" fontId="65" fillId="0" borderId="76" xfId="0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0" fillId="0" borderId="160" xfId="0" applyFont="1" applyBorder="1"/>
    <xf numFmtId="3" fontId="80" fillId="0" borderId="168" xfId="0" applyNumberFormat="1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4" fontId="81" fillId="0" borderId="172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3" fontId="7" fillId="0" borderId="144" xfId="5" applyNumberFormat="1" applyFont="1" applyBorder="1"/>
    <xf numFmtId="3" fontId="65" fillId="0" borderId="75" xfId="3" applyNumberFormat="1" applyFont="1" applyBorder="1"/>
    <xf numFmtId="2" fontId="1" fillId="0" borderId="0" xfId="1" applyNumberFormat="1"/>
    <xf numFmtId="0" fontId="31" fillId="0" borderId="92" xfId="3" applyFont="1" applyBorder="1" applyAlignment="1">
      <alignment horizontal="center" vertical="center"/>
    </xf>
    <xf numFmtId="3" fontId="31" fillId="0" borderId="87" xfId="3" applyNumberFormat="1" applyFont="1" applyBorder="1" applyAlignment="1">
      <alignment horizontal="right" vertical="center"/>
    </xf>
    <xf numFmtId="3" fontId="31" fillId="0" borderId="88" xfId="5" applyNumberFormat="1" applyFont="1" applyBorder="1" applyAlignment="1">
      <alignment horizontal="right" vertical="center" wrapText="1"/>
    </xf>
    <xf numFmtId="3" fontId="76" fillId="0" borderId="130" xfId="0" applyNumberFormat="1" applyFont="1" applyBorder="1"/>
    <xf numFmtId="3" fontId="80" fillId="0" borderId="178" xfId="0" applyNumberFormat="1" applyFont="1" applyBorder="1"/>
    <xf numFmtId="0" fontId="50" fillId="0" borderId="39" xfId="0" applyFont="1" applyBorder="1" applyAlignment="1">
      <alignment horizontal="center" wrapText="1"/>
    </xf>
    <xf numFmtId="0" fontId="50" fillId="0" borderId="0" xfId="1" applyFont="1" applyAlignment="1">
      <alignment horizontal="center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3" fontId="58" fillId="0" borderId="129" xfId="0" applyNumberFormat="1" applyFont="1" applyBorder="1" applyAlignment="1">
      <alignment horizontal="center"/>
    </xf>
    <xf numFmtId="3" fontId="77" fillId="0" borderId="114" xfId="0" applyNumberFormat="1" applyFont="1" applyBorder="1" applyAlignment="1">
      <alignment horizont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0" fontId="31" fillId="0" borderId="132" xfId="3" applyFont="1" applyBorder="1" applyAlignment="1">
      <alignment horizontal="center" vertical="center" wrapText="1"/>
    </xf>
    <xf numFmtId="0" fontId="31" fillId="0" borderId="84" xfId="3" applyFont="1" applyBorder="1" applyAlignment="1">
      <alignment horizontal="center" vertical="center" wrapText="1"/>
    </xf>
    <xf numFmtId="0" fontId="31" fillId="0" borderId="85" xfId="3" applyFont="1" applyBorder="1" applyAlignment="1">
      <alignment horizontal="center" vertical="center" wrapText="1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4" fontId="20" fillId="0" borderId="87" xfId="1" applyNumberFormat="1" applyFont="1" applyBorder="1" applyAlignment="1">
      <alignment horizontal="center" wrapText="1"/>
    </xf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4\Mesa&#269;n&#233;%20plnenie%202024\J&#250;n%202024\tabu&#318;ky%20%20podrobn&#233;%20%202024.xlsx" TargetMode="External"/><Relationship Id="rId1" Type="http://schemas.openxmlformats.org/officeDocument/2006/relationships/externalLinkPath" Target="tabu&#318;ky%20%20podrobn&#233;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C5">
            <v>117300</v>
          </cell>
          <cell r="AD5">
            <v>0</v>
          </cell>
          <cell r="AE5">
            <v>0</v>
          </cell>
          <cell r="AF5">
            <v>59339.189999999995</v>
          </cell>
          <cell r="AG5">
            <v>0</v>
          </cell>
          <cell r="AH5">
            <v>0</v>
          </cell>
        </row>
        <row r="17">
          <cell r="AC17">
            <v>53450</v>
          </cell>
          <cell r="AD17">
            <v>0</v>
          </cell>
          <cell r="AE17">
            <v>0</v>
          </cell>
          <cell r="AF17">
            <v>24879.94</v>
          </cell>
          <cell r="AG17">
            <v>0</v>
          </cell>
          <cell r="AH17">
            <v>0</v>
          </cell>
        </row>
        <row r="28">
          <cell r="AC28">
            <v>104300</v>
          </cell>
          <cell r="AD28">
            <v>0</v>
          </cell>
          <cell r="AE28">
            <v>0</v>
          </cell>
          <cell r="AF28">
            <v>54839.78</v>
          </cell>
          <cell r="AG28">
            <v>0</v>
          </cell>
          <cell r="AH28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1">
          <cell r="AC41">
            <v>17350</v>
          </cell>
          <cell r="AD41">
            <v>0</v>
          </cell>
          <cell r="AE41">
            <v>0</v>
          </cell>
          <cell r="AF41">
            <v>11097.720000000001</v>
          </cell>
          <cell r="AG41">
            <v>0</v>
          </cell>
          <cell r="AH41">
            <v>0</v>
          </cell>
        </row>
        <row r="58">
          <cell r="AC58">
            <v>1000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2">
          <cell r="AC62">
            <v>4200</v>
          </cell>
          <cell r="AD62">
            <v>147680</v>
          </cell>
          <cell r="AE62">
            <v>0</v>
          </cell>
          <cell r="AF62">
            <v>1231.58</v>
          </cell>
          <cell r="AG62">
            <v>853.44</v>
          </cell>
          <cell r="AH62">
            <v>0</v>
          </cell>
        </row>
        <row r="79">
          <cell r="AC79">
            <v>102000</v>
          </cell>
          <cell r="AD79">
            <v>0</v>
          </cell>
          <cell r="AE79">
            <v>0</v>
          </cell>
          <cell r="AF79">
            <v>41412.159999999996</v>
          </cell>
          <cell r="AG79">
            <v>0</v>
          </cell>
          <cell r="AH79">
            <v>0</v>
          </cell>
        </row>
        <row r="88">
          <cell r="AC88">
            <v>8000</v>
          </cell>
          <cell r="AD88">
            <v>0</v>
          </cell>
          <cell r="AE88">
            <v>0</v>
          </cell>
          <cell r="AF88">
            <v>4992</v>
          </cell>
          <cell r="AG88">
            <v>0</v>
          </cell>
          <cell r="AH88">
            <v>0</v>
          </cell>
        </row>
        <row r="92">
          <cell r="AC92">
            <v>12900</v>
          </cell>
          <cell r="AD92">
            <v>0</v>
          </cell>
          <cell r="AE92">
            <v>0</v>
          </cell>
          <cell r="AF92">
            <v>11117.380000000001</v>
          </cell>
          <cell r="AG92">
            <v>0</v>
          </cell>
          <cell r="AH92">
            <v>0</v>
          </cell>
        </row>
        <row r="95"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</sheetData>
      <sheetData sheetId="1">
        <row r="5">
          <cell r="AC5">
            <v>350</v>
          </cell>
          <cell r="AD5">
            <v>0</v>
          </cell>
          <cell r="AE5">
            <v>0</v>
          </cell>
          <cell r="AF5">
            <v>16.2</v>
          </cell>
          <cell r="AG5">
            <v>0</v>
          </cell>
          <cell r="AH5">
            <v>0</v>
          </cell>
        </row>
        <row r="7">
          <cell r="AC7">
            <v>5500</v>
          </cell>
          <cell r="AD7">
            <v>0</v>
          </cell>
          <cell r="AE7">
            <v>0</v>
          </cell>
          <cell r="AF7">
            <v>895.15</v>
          </cell>
          <cell r="AG7">
            <v>0</v>
          </cell>
          <cell r="AH7">
            <v>0</v>
          </cell>
        </row>
        <row r="12">
          <cell r="AC12">
            <v>8050</v>
          </cell>
          <cell r="AD12">
            <v>0</v>
          </cell>
          <cell r="AE12">
            <v>0</v>
          </cell>
          <cell r="AF12">
            <v>5937.69</v>
          </cell>
          <cell r="AG12">
            <v>0</v>
          </cell>
          <cell r="AH12">
            <v>0</v>
          </cell>
        </row>
        <row r="20"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2"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AC27">
            <v>2000</v>
          </cell>
          <cell r="AD27">
            <v>0</v>
          </cell>
          <cell r="AE27">
            <v>0</v>
          </cell>
          <cell r="AF27">
            <v>425</v>
          </cell>
          <cell r="AG27">
            <v>0</v>
          </cell>
          <cell r="AH27">
            <v>0</v>
          </cell>
        </row>
        <row r="29">
          <cell r="AC29">
            <v>4000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2">
          <cell r="AC32">
            <v>15000</v>
          </cell>
          <cell r="AD32">
            <v>0</v>
          </cell>
          <cell r="AE32">
            <v>0</v>
          </cell>
          <cell r="AF32">
            <v>5461.7599999999993</v>
          </cell>
          <cell r="AG32">
            <v>0</v>
          </cell>
          <cell r="AH32">
            <v>0</v>
          </cell>
        </row>
        <row r="46">
          <cell r="AC46">
            <v>1500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51">
          <cell r="AC51">
            <v>7700</v>
          </cell>
          <cell r="AD51">
            <v>0</v>
          </cell>
          <cell r="AE51">
            <v>0</v>
          </cell>
          <cell r="AF51">
            <v>822.3</v>
          </cell>
          <cell r="AG51">
            <v>0</v>
          </cell>
          <cell r="AH51">
            <v>0</v>
          </cell>
        </row>
      </sheetData>
      <sheetData sheetId="2">
        <row r="4">
          <cell r="AC4">
            <v>83000</v>
          </cell>
          <cell r="AD4">
            <v>0</v>
          </cell>
          <cell r="AE4">
            <v>0</v>
          </cell>
          <cell r="AF4">
            <v>45296.69</v>
          </cell>
          <cell r="AG4">
            <v>0</v>
          </cell>
          <cell r="AH4">
            <v>0</v>
          </cell>
        </row>
        <row r="23">
          <cell r="AC23">
            <v>209300</v>
          </cell>
          <cell r="AD23">
            <v>0</v>
          </cell>
          <cell r="AE23">
            <v>0</v>
          </cell>
          <cell r="AF23">
            <v>95425.5</v>
          </cell>
          <cell r="AG23">
            <v>0</v>
          </cell>
          <cell r="AH23">
            <v>0</v>
          </cell>
        </row>
        <row r="29">
          <cell r="AC29">
            <v>2150</v>
          </cell>
          <cell r="AD29">
            <v>0</v>
          </cell>
          <cell r="AE29">
            <v>0</v>
          </cell>
          <cell r="AF29">
            <v>2013.3</v>
          </cell>
          <cell r="AG29">
            <v>0</v>
          </cell>
          <cell r="AH29">
            <v>0</v>
          </cell>
        </row>
        <row r="34">
          <cell r="AC34">
            <v>15700</v>
          </cell>
          <cell r="AD34">
            <v>0</v>
          </cell>
          <cell r="AE34">
            <v>0</v>
          </cell>
          <cell r="AF34">
            <v>10432.469999999999</v>
          </cell>
          <cell r="AG34">
            <v>0</v>
          </cell>
          <cell r="AH34">
            <v>0</v>
          </cell>
        </row>
        <row r="37">
          <cell r="AC37">
            <v>238170</v>
          </cell>
          <cell r="AD37">
            <v>0</v>
          </cell>
          <cell r="AE37">
            <v>0</v>
          </cell>
          <cell r="AF37">
            <v>99649.260000000024</v>
          </cell>
          <cell r="AG37">
            <v>0</v>
          </cell>
          <cell r="AH37">
            <v>0</v>
          </cell>
        </row>
        <row r="95">
          <cell r="AC95">
            <v>2000</v>
          </cell>
          <cell r="AD95">
            <v>10150</v>
          </cell>
          <cell r="AE95">
            <v>0</v>
          </cell>
          <cell r="AF95">
            <v>387</v>
          </cell>
          <cell r="AG95">
            <v>0</v>
          </cell>
          <cell r="AH95">
            <v>0</v>
          </cell>
        </row>
        <row r="100">
          <cell r="AC100">
            <v>8000</v>
          </cell>
          <cell r="AD100">
            <v>0</v>
          </cell>
          <cell r="AE100">
            <v>0</v>
          </cell>
          <cell r="AF100">
            <v>2863.95</v>
          </cell>
          <cell r="AG100">
            <v>0</v>
          </cell>
          <cell r="AH100">
            <v>0</v>
          </cell>
        </row>
        <row r="106">
          <cell r="AC106">
            <v>550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</sheetData>
      <sheetData sheetId="3">
        <row r="4">
          <cell r="AC4">
            <v>28850</v>
          </cell>
          <cell r="AD4">
            <v>0</v>
          </cell>
          <cell r="AE4">
            <v>0</v>
          </cell>
          <cell r="AF4">
            <v>12055.75</v>
          </cell>
          <cell r="AG4">
            <v>0</v>
          </cell>
          <cell r="AH4">
            <v>0</v>
          </cell>
        </row>
        <row r="17">
          <cell r="AC17">
            <v>33900</v>
          </cell>
          <cell r="AD17">
            <v>0</v>
          </cell>
          <cell r="AE17">
            <v>0</v>
          </cell>
          <cell r="AF17">
            <v>15573.39</v>
          </cell>
          <cell r="AG17">
            <v>0</v>
          </cell>
          <cell r="AH1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0">
          <cell r="AC30"/>
          <cell r="AD30"/>
          <cell r="AE30"/>
          <cell r="AF30"/>
          <cell r="AG30"/>
          <cell r="AH30"/>
        </row>
      </sheetData>
      <sheetData sheetId="4">
        <row r="5">
          <cell r="AC5">
            <v>671450</v>
          </cell>
          <cell r="AD5">
            <v>0</v>
          </cell>
          <cell r="AE5">
            <v>0</v>
          </cell>
          <cell r="AF5">
            <v>324102.16000000003</v>
          </cell>
          <cell r="AG5">
            <v>0</v>
          </cell>
          <cell r="AH5">
            <v>0</v>
          </cell>
        </row>
        <row r="60">
          <cell r="AC60">
            <v>188300</v>
          </cell>
          <cell r="AD60">
            <v>0</v>
          </cell>
          <cell r="AE60">
            <v>0</v>
          </cell>
          <cell r="AF60">
            <v>90841.08</v>
          </cell>
          <cell r="AG60">
            <v>0</v>
          </cell>
          <cell r="AH60">
            <v>0</v>
          </cell>
        </row>
        <row r="83">
          <cell r="AC83">
            <v>82000</v>
          </cell>
          <cell r="AD83">
            <v>0</v>
          </cell>
          <cell r="AE83">
            <v>0</v>
          </cell>
          <cell r="AF83">
            <v>36247.910000000003</v>
          </cell>
          <cell r="AG83">
            <v>0</v>
          </cell>
          <cell r="AH83">
            <v>0</v>
          </cell>
        </row>
        <row r="86">
          <cell r="AC86">
            <v>83550</v>
          </cell>
          <cell r="AD86">
            <v>0</v>
          </cell>
          <cell r="AE86">
            <v>0</v>
          </cell>
          <cell r="AF86">
            <v>36037.35</v>
          </cell>
          <cell r="AG86">
            <v>0</v>
          </cell>
          <cell r="AH86">
            <v>0</v>
          </cell>
        </row>
        <row r="94"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6">
          <cell r="AC96">
            <v>6850</v>
          </cell>
          <cell r="AD96">
            <v>0</v>
          </cell>
          <cell r="AE96">
            <v>0</v>
          </cell>
          <cell r="AF96">
            <v>1868.3799999999999</v>
          </cell>
          <cell r="AG96">
            <v>0</v>
          </cell>
          <cell r="AH96">
            <v>0</v>
          </cell>
        </row>
        <row r="114">
          <cell r="AC114">
            <v>0</v>
          </cell>
          <cell r="AD114">
            <v>115000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21">
          <cell r="AC121">
            <v>100000</v>
          </cell>
          <cell r="AD121">
            <v>0</v>
          </cell>
          <cell r="AE121">
            <v>0</v>
          </cell>
          <cell r="AF121">
            <v>78897.5</v>
          </cell>
          <cell r="AG121">
            <v>0</v>
          </cell>
          <cell r="AH121">
            <v>0</v>
          </cell>
        </row>
        <row r="124">
          <cell r="AC124">
            <v>150000</v>
          </cell>
          <cell r="AD124">
            <v>0</v>
          </cell>
          <cell r="AE124">
            <v>0</v>
          </cell>
          <cell r="AF124">
            <v>60214.36</v>
          </cell>
          <cell r="AG124">
            <v>0</v>
          </cell>
          <cell r="AH124">
            <v>0</v>
          </cell>
        </row>
        <row r="127"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1">
          <cell r="AC131">
            <v>6300</v>
          </cell>
          <cell r="AD131">
            <v>0</v>
          </cell>
          <cell r="AE131">
            <v>0</v>
          </cell>
          <cell r="AF131">
            <v>2600</v>
          </cell>
          <cell r="AG131">
            <v>0</v>
          </cell>
          <cell r="AH131">
            <v>0</v>
          </cell>
        </row>
        <row r="133">
          <cell r="AC133">
            <v>3000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</sheetData>
      <sheetData sheetId="5">
        <row r="5">
          <cell r="AC5">
            <v>11000</v>
          </cell>
          <cell r="AD5">
            <v>0</v>
          </cell>
          <cell r="AE5">
            <v>0</v>
          </cell>
          <cell r="AF5">
            <v>2597.31</v>
          </cell>
          <cell r="AG5">
            <v>0</v>
          </cell>
          <cell r="AH5">
            <v>0</v>
          </cell>
        </row>
        <row r="10">
          <cell r="AC10">
            <v>1042400</v>
          </cell>
          <cell r="AD10">
            <v>0</v>
          </cell>
          <cell r="AE10">
            <v>0</v>
          </cell>
          <cell r="AF10">
            <v>432555.99</v>
          </cell>
          <cell r="AG10">
            <v>0</v>
          </cell>
          <cell r="AH10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1">
          <cell r="AC31">
            <v>192000</v>
          </cell>
          <cell r="AD31">
            <v>0</v>
          </cell>
          <cell r="AE31">
            <v>0</v>
          </cell>
          <cell r="AF31">
            <v>58009.72</v>
          </cell>
          <cell r="AG31">
            <v>0</v>
          </cell>
          <cell r="AH31">
            <v>0</v>
          </cell>
        </row>
      </sheetData>
      <sheetData sheetId="6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0</v>
          </cell>
          <cell r="AD7">
            <v>227000</v>
          </cell>
          <cell r="AE7">
            <v>0</v>
          </cell>
          <cell r="AF7">
            <v>0</v>
          </cell>
          <cell r="AG7">
            <v>113449.98</v>
          </cell>
          <cell r="AH7">
            <v>0</v>
          </cell>
        </row>
        <row r="15">
          <cell r="AC15">
            <v>80000</v>
          </cell>
          <cell r="AD15">
            <v>0</v>
          </cell>
          <cell r="AE15">
            <v>0</v>
          </cell>
          <cell r="AF15">
            <v>80844.92</v>
          </cell>
          <cell r="AG15">
            <v>0</v>
          </cell>
          <cell r="AH15">
            <v>0</v>
          </cell>
        </row>
        <row r="17">
          <cell r="AC17">
            <v>240000</v>
          </cell>
          <cell r="AD17">
            <v>0</v>
          </cell>
          <cell r="AE17">
            <v>0</v>
          </cell>
          <cell r="AF17">
            <v>241068.32</v>
          </cell>
          <cell r="AG17">
            <v>0</v>
          </cell>
          <cell r="AH17">
            <v>0</v>
          </cell>
        </row>
        <row r="19">
          <cell r="AC19">
            <v>90600</v>
          </cell>
          <cell r="AD19">
            <v>0</v>
          </cell>
          <cell r="AE19">
            <v>0</v>
          </cell>
          <cell r="AF19">
            <v>42066.76</v>
          </cell>
          <cell r="AG19">
            <v>0</v>
          </cell>
          <cell r="AH19">
            <v>0</v>
          </cell>
        </row>
        <row r="26">
          <cell r="AC26">
            <v>30000</v>
          </cell>
          <cell r="AD26">
            <v>0</v>
          </cell>
          <cell r="AE26">
            <v>0</v>
          </cell>
          <cell r="AF26">
            <v>5560</v>
          </cell>
          <cell r="AG26">
            <v>0</v>
          </cell>
          <cell r="AH26">
            <v>0</v>
          </cell>
        </row>
        <row r="28">
          <cell r="AC28">
            <v>10000</v>
          </cell>
          <cell r="AD28">
            <v>0</v>
          </cell>
          <cell r="AE28">
            <v>0</v>
          </cell>
          <cell r="AF28">
            <v>2598.15</v>
          </cell>
          <cell r="AG28">
            <v>0</v>
          </cell>
          <cell r="AH28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3">
          <cell r="AC33">
            <v>28000</v>
          </cell>
          <cell r="AD33">
            <v>2542000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6">
          <cell r="AC36">
            <v>0</v>
          </cell>
          <cell r="AD36">
            <v>20000</v>
          </cell>
          <cell r="AE36">
            <v>0</v>
          </cell>
          <cell r="AF36">
            <v>5000</v>
          </cell>
          <cell r="AG36">
            <v>7844.2</v>
          </cell>
          <cell r="AH36">
            <v>0</v>
          </cell>
        </row>
        <row r="39"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</sheetData>
      <sheetData sheetId="7">
        <row r="4">
          <cell r="AC4">
            <v>185000</v>
          </cell>
          <cell r="AD4">
            <v>0</v>
          </cell>
          <cell r="AE4">
            <v>0</v>
          </cell>
          <cell r="AF4">
            <v>68280</v>
          </cell>
          <cell r="AG4">
            <v>0</v>
          </cell>
          <cell r="AH4">
            <v>0</v>
          </cell>
        </row>
        <row r="7">
          <cell r="AC7">
            <v>5000</v>
          </cell>
          <cell r="AD7">
            <v>0</v>
          </cell>
          <cell r="AE7">
            <v>0</v>
          </cell>
          <cell r="AF7">
            <v>700</v>
          </cell>
          <cell r="AG7">
            <v>0</v>
          </cell>
          <cell r="AH7">
            <v>0</v>
          </cell>
        </row>
      </sheetData>
      <sheetData sheetId="8">
        <row r="4">
          <cell r="AC4">
            <v>6000</v>
          </cell>
          <cell r="AD4">
            <v>0</v>
          </cell>
          <cell r="AE4">
            <v>0</v>
          </cell>
          <cell r="AF4">
            <v>3940.6400000000003</v>
          </cell>
          <cell r="AG4">
            <v>0</v>
          </cell>
          <cell r="AH4">
            <v>0</v>
          </cell>
        </row>
        <row r="20">
          <cell r="AC20">
            <v>263170</v>
          </cell>
          <cell r="AD20">
            <v>239100</v>
          </cell>
          <cell r="AE20"/>
          <cell r="AF20">
            <v>136502</v>
          </cell>
          <cell r="AG20">
            <v>32647.79</v>
          </cell>
          <cell r="AH20"/>
        </row>
        <row r="21">
          <cell r="AC21">
            <v>405950</v>
          </cell>
          <cell r="AD21">
            <v>25392</v>
          </cell>
          <cell r="AE21"/>
          <cell r="AF21">
            <v>218142</v>
          </cell>
          <cell r="AG21"/>
          <cell r="AH21"/>
        </row>
        <row r="22">
          <cell r="AC22">
            <v>599619</v>
          </cell>
          <cell r="AD22">
            <v>11306</v>
          </cell>
          <cell r="AE22"/>
          <cell r="AF22">
            <v>334555</v>
          </cell>
          <cell r="AG22"/>
          <cell r="AH22"/>
        </row>
        <row r="23">
          <cell r="AC23">
            <v>0</v>
          </cell>
          <cell r="AD23">
            <v>0</v>
          </cell>
          <cell r="AE23"/>
          <cell r="AF23"/>
          <cell r="AG23"/>
          <cell r="AH23"/>
        </row>
        <row r="24">
          <cell r="AC24">
            <v>316410</v>
          </cell>
          <cell r="AD24">
            <v>0</v>
          </cell>
          <cell r="AE24"/>
          <cell r="AF24">
            <v>155422</v>
          </cell>
          <cell r="AG24"/>
          <cell r="AH24"/>
        </row>
        <row r="25">
          <cell r="AC25">
            <v>330150</v>
          </cell>
          <cell r="AD25">
            <v>3000</v>
          </cell>
          <cell r="AE25"/>
          <cell r="AF25">
            <v>174514</v>
          </cell>
          <cell r="AG25">
            <v>3000</v>
          </cell>
          <cell r="AH25"/>
        </row>
        <row r="26">
          <cell r="AC26">
            <v>336880</v>
          </cell>
          <cell r="AD26">
            <v>0</v>
          </cell>
          <cell r="AE26"/>
          <cell r="AF26">
            <v>163262</v>
          </cell>
          <cell r="AG26"/>
          <cell r="AH26"/>
        </row>
        <row r="27">
          <cell r="AC27">
            <v>89572</v>
          </cell>
          <cell r="AD27">
            <v>0</v>
          </cell>
          <cell r="AE27"/>
          <cell r="AF27">
            <v>41100</v>
          </cell>
          <cell r="AG27"/>
          <cell r="AH27"/>
        </row>
        <row r="29">
          <cell r="AC29">
            <v>762220</v>
          </cell>
          <cell r="AD29">
            <v>0</v>
          </cell>
          <cell r="AE29">
            <v>0</v>
          </cell>
          <cell r="AF29">
            <v>373123</v>
          </cell>
          <cell r="AG29">
            <v>0</v>
          </cell>
          <cell r="AH29">
            <v>0</v>
          </cell>
        </row>
        <row r="32">
          <cell r="AC32">
            <v>1167220</v>
          </cell>
          <cell r="AD32">
            <v>0</v>
          </cell>
          <cell r="AE32">
            <v>0</v>
          </cell>
          <cell r="AF32">
            <v>559881</v>
          </cell>
          <cell r="AG32">
            <v>0</v>
          </cell>
          <cell r="AH32">
            <v>0</v>
          </cell>
        </row>
        <row r="36">
          <cell r="AC36">
            <v>1919680</v>
          </cell>
          <cell r="AD36">
            <v>0</v>
          </cell>
          <cell r="AE36">
            <v>0</v>
          </cell>
          <cell r="AF36">
            <v>951138</v>
          </cell>
          <cell r="AG36">
            <v>0</v>
          </cell>
          <cell r="AH36">
            <v>0</v>
          </cell>
        </row>
        <row r="41">
          <cell r="AC41">
            <v>1572970</v>
          </cell>
          <cell r="AD41">
            <v>0</v>
          </cell>
          <cell r="AE41">
            <v>0</v>
          </cell>
          <cell r="AF41">
            <v>817906</v>
          </cell>
          <cell r="AG41">
            <v>0</v>
          </cell>
          <cell r="AH41">
            <v>0</v>
          </cell>
        </row>
        <row r="44">
          <cell r="AC44">
            <v>1318440</v>
          </cell>
          <cell r="AD44">
            <v>76000</v>
          </cell>
          <cell r="AE44">
            <v>0</v>
          </cell>
          <cell r="AF44">
            <v>637437</v>
          </cell>
          <cell r="AG44">
            <v>76000</v>
          </cell>
          <cell r="AH44">
            <v>0</v>
          </cell>
        </row>
        <row r="47">
          <cell r="AC47">
            <v>724410</v>
          </cell>
          <cell r="AD47">
            <v>0</v>
          </cell>
          <cell r="AE47">
            <v>0</v>
          </cell>
          <cell r="AF47">
            <v>364608</v>
          </cell>
          <cell r="AG47">
            <v>0</v>
          </cell>
          <cell r="AH47">
            <v>0</v>
          </cell>
        </row>
        <row r="51">
          <cell r="AC51">
            <v>765648</v>
          </cell>
          <cell r="AD51"/>
          <cell r="AE51"/>
          <cell r="AF51">
            <v>409500</v>
          </cell>
          <cell r="AG51"/>
          <cell r="AH51"/>
        </row>
        <row r="52">
          <cell r="AC52">
            <v>323370</v>
          </cell>
          <cell r="AD52"/>
          <cell r="AE52"/>
          <cell r="AF52">
            <v>161685</v>
          </cell>
          <cell r="AG52"/>
          <cell r="AH52"/>
        </row>
        <row r="53">
          <cell r="AC53">
            <v>814944</v>
          </cell>
          <cell r="AD53">
            <v>0</v>
          </cell>
          <cell r="AE53">
            <v>0</v>
          </cell>
          <cell r="AF53">
            <v>476112.72000000003</v>
          </cell>
          <cell r="AG53">
            <v>0</v>
          </cell>
          <cell r="AH53">
            <v>0</v>
          </cell>
        </row>
        <row r="74">
          <cell r="AC74">
            <v>1193168</v>
          </cell>
          <cell r="AD74">
            <v>20972</v>
          </cell>
          <cell r="AE74"/>
          <cell r="AF74">
            <v>465184.7</v>
          </cell>
          <cell r="AG74">
            <v>16669.600000000002</v>
          </cell>
          <cell r="AH74"/>
        </row>
        <row r="75">
          <cell r="AC75">
            <v>515990</v>
          </cell>
          <cell r="AD75">
            <v>4608</v>
          </cell>
          <cell r="AE75">
            <v>0</v>
          </cell>
          <cell r="AF75">
            <v>74647.3</v>
          </cell>
          <cell r="AG75">
            <v>0</v>
          </cell>
          <cell r="AH75">
            <v>0</v>
          </cell>
        </row>
        <row r="82">
          <cell r="AC82">
            <v>1537935</v>
          </cell>
          <cell r="AD82"/>
          <cell r="AE82"/>
          <cell r="AF82">
            <v>760172.42</v>
          </cell>
          <cell r="AG82"/>
          <cell r="AH82"/>
        </row>
      </sheetData>
      <sheetData sheetId="9">
        <row r="4">
          <cell r="AC4">
            <v>5000</v>
          </cell>
          <cell r="AD4">
            <v>0</v>
          </cell>
          <cell r="AE4">
            <v>0</v>
          </cell>
          <cell r="AF4">
            <v>1037.5999999999999</v>
          </cell>
          <cell r="AG4">
            <v>0</v>
          </cell>
          <cell r="AH4">
            <v>0</v>
          </cell>
        </row>
        <row r="12">
          <cell r="AC12">
            <v>52200</v>
          </cell>
          <cell r="AD12">
            <v>0</v>
          </cell>
          <cell r="AE12">
            <v>0</v>
          </cell>
          <cell r="AF12">
            <v>30089.050000000003</v>
          </cell>
          <cell r="AG12">
            <v>0</v>
          </cell>
          <cell r="AH12">
            <v>0</v>
          </cell>
        </row>
        <row r="32">
          <cell r="AC32">
            <v>84000</v>
          </cell>
          <cell r="AD32">
            <v>0</v>
          </cell>
          <cell r="AE32">
            <v>0</v>
          </cell>
          <cell r="AF32">
            <v>38024.6</v>
          </cell>
          <cell r="AG32">
            <v>0</v>
          </cell>
          <cell r="AH32">
            <v>0</v>
          </cell>
        </row>
        <row r="53">
          <cell r="AC53">
            <v>34500</v>
          </cell>
          <cell r="AD53">
            <v>0</v>
          </cell>
          <cell r="AE53">
            <v>0</v>
          </cell>
          <cell r="AF53">
            <v>16237.86</v>
          </cell>
          <cell r="AG53">
            <v>0</v>
          </cell>
          <cell r="AH53">
            <v>0</v>
          </cell>
        </row>
        <row r="65">
          <cell r="AC65">
            <v>251200</v>
          </cell>
          <cell r="AD65">
            <v>0</v>
          </cell>
          <cell r="AE65">
            <v>0</v>
          </cell>
          <cell r="AF65">
            <v>110885.13999999998</v>
          </cell>
          <cell r="AG65">
            <v>0</v>
          </cell>
          <cell r="AH65">
            <v>0</v>
          </cell>
        </row>
        <row r="86">
          <cell r="AC86">
            <v>13350</v>
          </cell>
          <cell r="AD86">
            <v>0</v>
          </cell>
          <cell r="AE86">
            <v>0</v>
          </cell>
          <cell r="AF86">
            <v>2662.3199999999997</v>
          </cell>
          <cell r="AG86">
            <v>0</v>
          </cell>
          <cell r="AH86">
            <v>0</v>
          </cell>
        </row>
        <row r="94">
          <cell r="AC94">
            <v>1000</v>
          </cell>
          <cell r="AD94">
            <v>0</v>
          </cell>
          <cell r="AE94">
            <v>0</v>
          </cell>
          <cell r="AF94">
            <v>110</v>
          </cell>
          <cell r="AG94">
            <v>11644</v>
          </cell>
          <cell r="AH94">
            <v>0</v>
          </cell>
        </row>
        <row r="100">
          <cell r="AC100">
            <v>22000</v>
          </cell>
          <cell r="AD100">
            <v>0</v>
          </cell>
          <cell r="AE100">
            <v>0</v>
          </cell>
          <cell r="AF100">
            <v>9060.57</v>
          </cell>
          <cell r="AG100">
            <v>0</v>
          </cell>
          <cell r="AH100">
            <v>0</v>
          </cell>
        </row>
        <row r="108">
          <cell r="AC108">
            <v>3000</v>
          </cell>
          <cell r="AD108">
            <v>0</v>
          </cell>
          <cell r="AE108">
            <v>0</v>
          </cell>
          <cell r="AF108">
            <v>3000</v>
          </cell>
          <cell r="AG108">
            <v>0</v>
          </cell>
          <cell r="AH108">
            <v>0</v>
          </cell>
        </row>
      </sheetData>
      <sheetData sheetId="10">
        <row r="4">
          <cell r="AC4">
            <v>13700</v>
          </cell>
          <cell r="AD4">
            <v>0</v>
          </cell>
          <cell r="AE4">
            <v>0</v>
          </cell>
          <cell r="AF4">
            <v>3972.8500000000004</v>
          </cell>
          <cell r="AG4">
            <v>0</v>
          </cell>
          <cell r="AH4">
            <v>0</v>
          </cell>
        </row>
        <row r="20">
          <cell r="AC20">
            <v>203000</v>
          </cell>
          <cell r="AD20">
            <v>0</v>
          </cell>
          <cell r="AE20">
            <v>0</v>
          </cell>
          <cell r="AF20">
            <v>97986.62</v>
          </cell>
          <cell r="AG20">
            <v>0</v>
          </cell>
          <cell r="AH20">
            <v>0</v>
          </cell>
        </row>
        <row r="27">
          <cell r="AC27">
            <v>2700</v>
          </cell>
          <cell r="AD27">
            <v>0</v>
          </cell>
          <cell r="AE27">
            <v>0</v>
          </cell>
          <cell r="AF27">
            <v>140</v>
          </cell>
          <cell r="AG27">
            <v>0</v>
          </cell>
          <cell r="AH27">
            <v>0</v>
          </cell>
        </row>
        <row r="37">
          <cell r="AC37">
            <v>769900</v>
          </cell>
          <cell r="AD37">
            <v>498100</v>
          </cell>
          <cell r="AE37">
            <v>0</v>
          </cell>
          <cell r="AF37">
            <v>419127.63999999996</v>
          </cell>
          <cell r="AG37">
            <v>497674.32</v>
          </cell>
          <cell r="AH37">
            <v>0</v>
          </cell>
        </row>
        <row r="126">
          <cell r="AC126">
            <v>16820</v>
          </cell>
          <cell r="AD126">
            <v>0</v>
          </cell>
          <cell r="AE126">
            <v>0</v>
          </cell>
          <cell r="AF126">
            <v>3533.5699999999997</v>
          </cell>
          <cell r="AG126">
            <v>0</v>
          </cell>
          <cell r="AH126">
            <v>0</v>
          </cell>
        </row>
        <row r="141">
          <cell r="AC141">
            <v>2000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4">
          <cell r="AC144">
            <v>3000</v>
          </cell>
          <cell r="AD144">
            <v>0</v>
          </cell>
          <cell r="AE144">
            <v>0</v>
          </cell>
          <cell r="AF144">
            <v>3000</v>
          </cell>
          <cell r="AG144">
            <v>0</v>
          </cell>
          <cell r="AH144">
            <v>0</v>
          </cell>
        </row>
      </sheetData>
      <sheetData sheetId="11">
        <row r="5">
          <cell r="AC5">
            <v>369000</v>
          </cell>
          <cell r="AD5">
            <v>727000</v>
          </cell>
          <cell r="AE5">
            <v>0</v>
          </cell>
          <cell r="AF5">
            <v>111970.61</v>
          </cell>
          <cell r="AG5">
            <v>684764.9</v>
          </cell>
          <cell r="AH5">
            <v>0</v>
          </cell>
        </row>
        <row r="23">
          <cell r="AC23">
            <v>5000</v>
          </cell>
          <cell r="AD23">
            <v>0</v>
          </cell>
          <cell r="AE23">
            <v>0</v>
          </cell>
          <cell r="AF23">
            <v>4454</v>
          </cell>
          <cell r="AG23">
            <v>0</v>
          </cell>
          <cell r="AH23">
            <v>0</v>
          </cell>
        </row>
        <row r="25">
          <cell r="AC25">
            <v>500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42">
          <cell r="AC42">
            <v>800</v>
          </cell>
          <cell r="AD42">
            <v>0</v>
          </cell>
          <cell r="AE42">
            <v>0</v>
          </cell>
          <cell r="AF42">
            <v>714</v>
          </cell>
          <cell r="AG42">
            <v>0</v>
          </cell>
          <cell r="AH42">
            <v>0</v>
          </cell>
        </row>
        <row r="46">
          <cell r="AC46">
            <v>5178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9">
          <cell r="AC49">
            <v>23250</v>
          </cell>
          <cell r="AD49">
            <v>0</v>
          </cell>
          <cell r="AE49">
            <v>0</v>
          </cell>
          <cell r="AF49">
            <v>9985.31</v>
          </cell>
          <cell r="AG49">
            <v>0</v>
          </cell>
          <cell r="AH49">
            <v>0</v>
          </cell>
        </row>
        <row r="70">
          <cell r="AC70">
            <v>500</v>
          </cell>
          <cell r="AD70">
            <v>0</v>
          </cell>
          <cell r="AE70">
            <v>0</v>
          </cell>
          <cell r="AF70">
            <v>316.97000000000003</v>
          </cell>
          <cell r="AG70">
            <v>0</v>
          </cell>
          <cell r="AH70">
            <v>0</v>
          </cell>
        </row>
        <row r="72">
          <cell r="AC72">
            <v>32100</v>
          </cell>
          <cell r="AD72">
            <v>0</v>
          </cell>
          <cell r="AE72">
            <v>0</v>
          </cell>
          <cell r="AF72">
            <v>20849.71</v>
          </cell>
          <cell r="AG72">
            <v>0</v>
          </cell>
          <cell r="AH72">
            <v>0</v>
          </cell>
        </row>
        <row r="76">
          <cell r="AC76">
            <v>38000</v>
          </cell>
          <cell r="AD76">
            <v>10000</v>
          </cell>
          <cell r="AE76">
            <v>0</v>
          </cell>
          <cell r="AF76">
            <v>14115.189999999999</v>
          </cell>
          <cell r="AG76">
            <v>0</v>
          </cell>
          <cell r="AH76">
            <v>0</v>
          </cell>
        </row>
        <row r="104"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</sheetData>
      <sheetData sheetId="12">
        <row r="5">
          <cell r="AC5">
            <v>37090</v>
          </cell>
          <cell r="AD5">
            <v>0</v>
          </cell>
          <cell r="AE5">
            <v>0</v>
          </cell>
          <cell r="AF5">
            <v>19488</v>
          </cell>
          <cell r="AG5">
            <v>0</v>
          </cell>
          <cell r="AH5">
            <v>0</v>
          </cell>
        </row>
        <row r="8">
          <cell r="AC8"/>
          <cell r="AD8"/>
          <cell r="AE8"/>
          <cell r="AF8"/>
          <cell r="AG8"/>
          <cell r="AH8"/>
        </row>
        <row r="9">
          <cell r="AC9">
            <v>11000</v>
          </cell>
          <cell r="AD9">
            <v>0</v>
          </cell>
          <cell r="AE9">
            <v>0</v>
          </cell>
          <cell r="AF9">
            <v>3300</v>
          </cell>
          <cell r="AG9">
            <v>0</v>
          </cell>
          <cell r="AH9">
            <v>0</v>
          </cell>
        </row>
        <row r="17">
          <cell r="AC17">
            <v>92220</v>
          </cell>
          <cell r="AD17">
            <v>16000</v>
          </cell>
          <cell r="AE17">
            <v>0</v>
          </cell>
          <cell r="AF17">
            <v>92220</v>
          </cell>
          <cell r="AG17">
            <v>15981.96</v>
          </cell>
          <cell r="AH17">
            <v>0</v>
          </cell>
        </row>
        <row r="21">
          <cell r="AC21">
            <v>38400</v>
          </cell>
          <cell r="AD21">
            <v>0</v>
          </cell>
          <cell r="AE21">
            <v>0</v>
          </cell>
          <cell r="AF21">
            <v>16860</v>
          </cell>
          <cell r="AG21">
            <v>0</v>
          </cell>
          <cell r="AH21">
            <v>0</v>
          </cell>
        </row>
        <row r="24"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6">
          <cell r="AC26">
            <v>122560</v>
          </cell>
          <cell r="AD26">
            <v>0</v>
          </cell>
          <cell r="AE26">
            <v>0</v>
          </cell>
          <cell r="AF26">
            <v>53674.05</v>
          </cell>
          <cell r="AG26">
            <v>0</v>
          </cell>
          <cell r="AH26">
            <v>0</v>
          </cell>
        </row>
        <row r="30">
          <cell r="AC30">
            <v>65740</v>
          </cell>
          <cell r="AD30">
            <v>0</v>
          </cell>
          <cell r="AE30">
            <v>0</v>
          </cell>
          <cell r="AF30">
            <v>31640</v>
          </cell>
          <cell r="AG30">
            <v>0</v>
          </cell>
          <cell r="AH30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5">
          <cell r="AC35">
            <v>1495505</v>
          </cell>
          <cell r="AD35">
            <v>10000</v>
          </cell>
          <cell r="AE35">
            <v>0</v>
          </cell>
          <cell r="AF35">
            <v>704106.08000000007</v>
          </cell>
          <cell r="AG35">
            <v>0</v>
          </cell>
          <cell r="AH35">
            <v>0</v>
          </cell>
        </row>
        <row r="50">
          <cell r="AC50">
            <v>253440</v>
          </cell>
          <cell r="AD50">
            <v>0</v>
          </cell>
          <cell r="AE50">
            <v>0</v>
          </cell>
          <cell r="AF50">
            <v>158639.20000000001</v>
          </cell>
          <cell r="AG50">
            <v>0</v>
          </cell>
          <cell r="AH50">
            <v>0</v>
          </cell>
        </row>
        <row r="55">
          <cell r="AC55">
            <v>44420</v>
          </cell>
          <cell r="AD55">
            <v>0</v>
          </cell>
          <cell r="AE55">
            <v>0</v>
          </cell>
          <cell r="AF55">
            <v>22713.24</v>
          </cell>
          <cell r="AG55">
            <v>0</v>
          </cell>
          <cell r="AH55">
            <v>0</v>
          </cell>
        </row>
        <row r="59">
          <cell r="AC59">
            <v>4560</v>
          </cell>
          <cell r="AD59">
            <v>0</v>
          </cell>
          <cell r="AE59">
            <v>0</v>
          </cell>
          <cell r="AF59">
            <v>3380</v>
          </cell>
          <cell r="AG59">
            <v>0</v>
          </cell>
          <cell r="AH59">
            <v>0</v>
          </cell>
        </row>
        <row r="62">
          <cell r="AC62">
            <v>71580</v>
          </cell>
          <cell r="AD62">
            <v>0</v>
          </cell>
          <cell r="AE62">
            <v>0</v>
          </cell>
          <cell r="AF62">
            <v>35684.92</v>
          </cell>
          <cell r="AG62">
            <v>0</v>
          </cell>
          <cell r="AH62">
            <v>0</v>
          </cell>
        </row>
        <row r="65">
          <cell r="AC65">
            <v>8090</v>
          </cell>
          <cell r="AD65">
            <v>0</v>
          </cell>
          <cell r="AE65">
            <v>0</v>
          </cell>
          <cell r="AF65">
            <v>4008</v>
          </cell>
          <cell r="AG65">
            <v>0</v>
          </cell>
          <cell r="AH65">
            <v>0</v>
          </cell>
        </row>
        <row r="67">
          <cell r="AC67">
            <v>1000</v>
          </cell>
          <cell r="AD67">
            <v>0</v>
          </cell>
          <cell r="AE67">
            <v>0</v>
          </cell>
          <cell r="AF67">
            <v>170.15</v>
          </cell>
          <cell r="AG67">
            <v>0</v>
          </cell>
          <cell r="AH67">
            <v>0</v>
          </cell>
        </row>
        <row r="79">
          <cell r="AC79">
            <v>45130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104">
          <cell r="AC104">
            <v>28000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6">
          <cell r="AC106">
            <v>157390</v>
          </cell>
          <cell r="AD106">
            <v>0</v>
          </cell>
          <cell r="AE106">
            <v>0</v>
          </cell>
          <cell r="AF106">
            <v>93215.14</v>
          </cell>
          <cell r="AG106">
            <v>0</v>
          </cell>
          <cell r="AH106">
            <v>0</v>
          </cell>
        </row>
        <row r="112">
          <cell r="AC112">
            <v>572400</v>
          </cell>
          <cell r="AD112">
            <v>0</v>
          </cell>
          <cell r="AE112">
            <v>7150</v>
          </cell>
          <cell r="AF112">
            <v>443110</v>
          </cell>
          <cell r="AG112">
            <v>0</v>
          </cell>
          <cell r="AH112">
            <v>3493.8</v>
          </cell>
        </row>
      </sheetData>
      <sheetData sheetId="13">
        <row r="24">
          <cell r="AC24">
            <v>676305</v>
          </cell>
          <cell r="AD24">
            <v>0</v>
          </cell>
          <cell r="AE24">
            <v>212945</v>
          </cell>
          <cell r="AF24">
            <v>234264.24000000002</v>
          </cell>
          <cell r="AG24">
            <v>0</v>
          </cell>
          <cell r="AH24">
            <v>110108.34999999999</v>
          </cell>
        </row>
      </sheetData>
      <sheetData sheetId="14">
        <row r="4">
          <cell r="AC4">
            <v>2501380</v>
          </cell>
          <cell r="AD4">
            <v>52732</v>
          </cell>
          <cell r="AE4">
            <v>0</v>
          </cell>
          <cell r="AF4">
            <v>1260314.8899999994</v>
          </cell>
          <cell r="AG4">
            <v>0</v>
          </cell>
          <cell r="AH4">
            <v>0</v>
          </cell>
        </row>
        <row r="102">
          <cell r="AC102"/>
          <cell r="AD102"/>
          <cell r="AE102"/>
          <cell r="AF102"/>
          <cell r="AG102"/>
          <cell r="AH102"/>
        </row>
        <row r="103">
          <cell r="AC103">
            <v>339631</v>
          </cell>
          <cell r="AD103">
            <v>0</v>
          </cell>
          <cell r="AE103">
            <v>5127850</v>
          </cell>
          <cell r="AF103">
            <v>164264.54</v>
          </cell>
          <cell r="AG103">
            <v>0</v>
          </cell>
          <cell r="AH103">
            <v>1796039.43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1"/>
  <sheetViews>
    <sheetView tabSelected="1" zoomScale="85" zoomScaleNormal="85" workbookViewId="0">
      <pane xSplit="1" ySplit="2" topLeftCell="E3" activePane="bottomRight" state="frozen"/>
      <selection pane="topRight" activeCell="B1" sqref="B1"/>
      <selection pane="bottomLeft" activeCell="A3" sqref="A3"/>
      <selection pane="bottomRight" sqref="A1:F1"/>
    </sheetView>
  </sheetViews>
  <sheetFormatPr defaultRowHeight="15" x14ac:dyDescent="0.25"/>
  <cols>
    <col min="1" max="1" width="67.85546875" style="317" customWidth="1"/>
    <col min="2" max="5" width="24.28515625" style="487" customWidth="1"/>
    <col min="6" max="6" width="24.28515625" style="378" customWidth="1"/>
  </cols>
  <sheetData>
    <row r="1" spans="1:6" ht="28.5" customHeight="1" thickBot="1" x14ac:dyDescent="0.45">
      <c r="A1" s="699" t="s">
        <v>642</v>
      </c>
      <c r="B1" s="699"/>
      <c r="C1" s="699"/>
      <c r="D1" s="699"/>
      <c r="E1" s="699"/>
      <c r="F1" s="699"/>
    </row>
    <row r="2" spans="1:6" ht="60" customHeight="1" thickBot="1" x14ac:dyDescent="0.35">
      <c r="A2" s="299" t="s">
        <v>404</v>
      </c>
      <c r="B2" s="251" t="s">
        <v>449</v>
      </c>
      <c r="C2" s="251" t="s">
        <v>533</v>
      </c>
      <c r="D2" s="251" t="s">
        <v>538</v>
      </c>
      <c r="E2" s="251" t="s">
        <v>627</v>
      </c>
      <c r="F2" s="361" t="s">
        <v>628</v>
      </c>
    </row>
    <row r="3" spans="1:6" ht="18.75" thickBot="1" x14ac:dyDescent="0.3">
      <c r="A3" s="300" t="s">
        <v>406</v>
      </c>
      <c r="B3" s="301">
        <f>B4+B17</f>
        <v>13907641.439999999</v>
      </c>
      <c r="C3" s="301">
        <f t="shared" ref="C3:D3" si="0">C4+C17</f>
        <v>15040707.109999999</v>
      </c>
      <c r="D3" s="301">
        <f t="shared" si="0"/>
        <v>16722477.51</v>
      </c>
      <c r="E3" s="301">
        <f t="shared" ref="E3" si="1">E4+E17</f>
        <v>27467218</v>
      </c>
      <c r="F3" s="362">
        <f>F4+F17</f>
        <v>13738057.199999999</v>
      </c>
    </row>
    <row r="4" spans="1:6" ht="18" x14ac:dyDescent="0.25">
      <c r="A4" s="302" t="s">
        <v>5</v>
      </c>
      <c r="B4" s="303">
        <f>B5+B7+B9</f>
        <v>8500097.3599999994</v>
      </c>
      <c r="C4" s="303">
        <f t="shared" ref="C4:D4" si="2">C5+C7+C9</f>
        <v>8990184.5999999996</v>
      </c>
      <c r="D4" s="303">
        <f t="shared" si="2"/>
        <v>9879465.6500000004</v>
      </c>
      <c r="E4" s="303">
        <f t="shared" ref="E4:F4" si="3">E5+E7+E9</f>
        <v>13022000</v>
      </c>
      <c r="F4" s="363">
        <f t="shared" si="3"/>
        <v>6605438.46</v>
      </c>
    </row>
    <row r="5" spans="1:6" ht="15.75" x14ac:dyDescent="0.25">
      <c r="A5" s="304" t="s">
        <v>6</v>
      </c>
      <c r="B5" s="259">
        <f>SUM(B6)</f>
        <v>6844677.2800000003</v>
      </c>
      <c r="C5" s="259">
        <f t="shared" ref="C5:F5" si="4">SUM(C6)</f>
        <v>7298850.5099999998</v>
      </c>
      <c r="D5" s="259">
        <f t="shared" si="4"/>
        <v>8078502.5700000003</v>
      </c>
      <c r="E5" s="259">
        <f t="shared" si="4"/>
        <v>10100000</v>
      </c>
      <c r="F5" s="364">
        <f t="shared" si="4"/>
        <v>4918099.26</v>
      </c>
    </row>
    <row r="6" spans="1:6" ht="15.75" x14ac:dyDescent="0.25">
      <c r="A6" s="305" t="s">
        <v>7</v>
      </c>
      <c r="B6" s="306">
        <v>6844677.2800000003</v>
      </c>
      <c r="C6" s="306">
        <v>7298850.5099999998</v>
      </c>
      <c r="D6" s="306">
        <v>8078502.5700000003</v>
      </c>
      <c r="E6" s="306">
        <v>10100000</v>
      </c>
      <c r="F6" s="365">
        <v>4918099.26</v>
      </c>
    </row>
    <row r="7" spans="1:6" ht="15.75" x14ac:dyDescent="0.25">
      <c r="A7" s="307" t="s">
        <v>8</v>
      </c>
      <c r="B7" s="259">
        <f>SUM(B8)</f>
        <v>878708.25</v>
      </c>
      <c r="C7" s="259">
        <f t="shared" ref="C7:F7" si="5">SUM(C8)</f>
        <v>879256.41</v>
      </c>
      <c r="D7" s="259">
        <f t="shared" si="5"/>
        <v>928463.99</v>
      </c>
      <c r="E7" s="259">
        <f t="shared" si="5"/>
        <v>1600000</v>
      </c>
      <c r="F7" s="364">
        <f t="shared" si="5"/>
        <v>920259.9</v>
      </c>
    </row>
    <row r="8" spans="1:6" ht="15.75" x14ac:dyDescent="0.25">
      <c r="A8" s="308" t="s">
        <v>9</v>
      </c>
      <c r="B8" s="306">
        <v>878708.25</v>
      </c>
      <c r="C8" s="306">
        <v>879256.41</v>
      </c>
      <c r="D8" s="306">
        <v>928463.99</v>
      </c>
      <c r="E8" s="306">
        <v>1600000</v>
      </c>
      <c r="F8" s="365">
        <v>920259.9</v>
      </c>
    </row>
    <row r="9" spans="1:6" ht="15.75" x14ac:dyDescent="0.25">
      <c r="A9" s="307" t="s">
        <v>10</v>
      </c>
      <c r="B9" s="259">
        <f t="shared" ref="B9:D9" si="6">SUM(B10:B16)</f>
        <v>776711.83</v>
      </c>
      <c r="C9" s="259">
        <f t="shared" si="6"/>
        <v>812077.68</v>
      </c>
      <c r="D9" s="259">
        <f t="shared" si="6"/>
        <v>872499.09</v>
      </c>
      <c r="E9" s="259">
        <f t="shared" ref="E9:F9" si="7">SUM(E10:E16)</f>
        <v>1322000</v>
      </c>
      <c r="F9" s="364">
        <f t="shared" si="7"/>
        <v>767079.29999999993</v>
      </c>
    </row>
    <row r="10" spans="1:6" ht="15.75" x14ac:dyDescent="0.25">
      <c r="A10" s="309" t="s">
        <v>11</v>
      </c>
      <c r="B10" s="335">
        <v>18658.04</v>
      </c>
      <c r="C10" s="335">
        <v>18560.419999999998</v>
      </c>
      <c r="D10" s="335">
        <v>18347.740000000002</v>
      </c>
      <c r="E10" s="424">
        <v>30000</v>
      </c>
      <c r="F10" s="366">
        <v>12854.39</v>
      </c>
    </row>
    <row r="11" spans="1:6" ht="15.75" x14ac:dyDescent="0.25">
      <c r="A11" s="309" t="s">
        <v>428</v>
      </c>
      <c r="B11" s="335">
        <v>13884.6</v>
      </c>
      <c r="C11" s="335">
        <v>22784.48</v>
      </c>
      <c r="D11" s="335">
        <v>29687.599999999999</v>
      </c>
      <c r="E11" s="424">
        <v>30000</v>
      </c>
      <c r="F11" s="366">
        <v>6693.6</v>
      </c>
    </row>
    <row r="12" spans="1:6" ht="15.75" x14ac:dyDescent="0.25">
      <c r="A12" s="309" t="s">
        <v>12</v>
      </c>
      <c r="B12" s="335">
        <v>53539.72</v>
      </c>
      <c r="C12" s="335">
        <v>82620.33</v>
      </c>
      <c r="D12" s="335">
        <v>114087.92</v>
      </c>
      <c r="E12" s="424">
        <v>160000</v>
      </c>
      <c r="F12" s="366">
        <v>113168.99</v>
      </c>
    </row>
    <row r="13" spans="1:6" ht="15.75" x14ac:dyDescent="0.25">
      <c r="A13" s="309" t="s">
        <v>13</v>
      </c>
      <c r="B13" s="335">
        <v>23909.42</v>
      </c>
      <c r="C13" s="335">
        <v>13041.62</v>
      </c>
      <c r="D13" s="335">
        <v>31602.86</v>
      </c>
      <c r="E13" s="424">
        <v>30000</v>
      </c>
      <c r="F13" s="366">
        <v>4877.6499999999996</v>
      </c>
    </row>
    <row r="14" spans="1:6" ht="15.75" x14ac:dyDescent="0.25">
      <c r="A14" s="309" t="s">
        <v>14</v>
      </c>
      <c r="B14" s="335">
        <v>521356.05</v>
      </c>
      <c r="C14" s="335">
        <v>523908.33</v>
      </c>
      <c r="D14" s="335">
        <v>518724.35</v>
      </c>
      <c r="E14" s="424">
        <v>720000</v>
      </c>
      <c r="F14" s="366">
        <v>427510.33</v>
      </c>
    </row>
    <row r="15" spans="1:6" ht="15.75" x14ac:dyDescent="0.25">
      <c r="A15" s="309" t="s">
        <v>15</v>
      </c>
      <c r="B15" s="335">
        <v>145364</v>
      </c>
      <c r="C15" s="335">
        <v>151162.5</v>
      </c>
      <c r="D15" s="335">
        <v>160048.62</v>
      </c>
      <c r="E15" s="260">
        <v>220000</v>
      </c>
      <c r="F15" s="369">
        <v>157109.34</v>
      </c>
    </row>
    <row r="16" spans="1:6" ht="15.75" x14ac:dyDescent="0.25">
      <c r="A16" s="309" t="s">
        <v>561</v>
      </c>
      <c r="B16" s="306"/>
      <c r="C16" s="306"/>
      <c r="D16" s="306"/>
      <c r="E16" s="425">
        <v>132000</v>
      </c>
      <c r="F16" s="367">
        <v>44865</v>
      </c>
    </row>
    <row r="17" spans="1:6" s="349" customFormat="1" ht="18.75" x14ac:dyDescent="0.3">
      <c r="A17" s="311" t="s">
        <v>16</v>
      </c>
      <c r="B17" s="350">
        <f>B18+B29+B52+B61</f>
        <v>5407544.0800000001</v>
      </c>
      <c r="C17" s="350">
        <f>C18+C29+C52+C61</f>
        <v>6050522.5099999998</v>
      </c>
      <c r="D17" s="350">
        <f>D18+D29+D52+D61</f>
        <v>6843011.8599999994</v>
      </c>
      <c r="E17" s="350">
        <f>E18+E29+E52+E61</f>
        <v>14445218</v>
      </c>
      <c r="F17" s="368">
        <f>F18+F29+F52+F61</f>
        <v>7132618.7400000002</v>
      </c>
    </row>
    <row r="18" spans="1:6" ht="15.75" x14ac:dyDescent="0.25">
      <c r="A18" s="304" t="s">
        <v>17</v>
      </c>
      <c r="B18" s="259">
        <f>SUM(B19:B28)</f>
        <v>602563.83000000007</v>
      </c>
      <c r="C18" s="259">
        <f>SUM(C19:C28)</f>
        <v>583317.45000000007</v>
      </c>
      <c r="D18" s="259">
        <f>SUM(D19:D28)</f>
        <v>573740.28999999992</v>
      </c>
      <c r="E18" s="259">
        <f>SUM(E19:E28)</f>
        <v>1119400</v>
      </c>
      <c r="F18" s="364">
        <f>SUM(F19:F28)</f>
        <v>505023.87000000005</v>
      </c>
    </row>
    <row r="19" spans="1:6" ht="15.75" x14ac:dyDescent="0.25">
      <c r="A19" s="305" t="s">
        <v>18</v>
      </c>
      <c r="B19" s="310">
        <v>62943.68</v>
      </c>
      <c r="C19" s="310">
        <v>59700.07</v>
      </c>
      <c r="D19" s="310">
        <v>64760.52</v>
      </c>
      <c r="E19" s="260">
        <v>100000</v>
      </c>
      <c r="F19" s="369">
        <v>81575.61</v>
      </c>
    </row>
    <row r="20" spans="1:6" ht="15.75" x14ac:dyDescent="0.25">
      <c r="A20" s="305" t="s">
        <v>411</v>
      </c>
      <c r="B20" s="310">
        <v>17082.5</v>
      </c>
      <c r="C20" s="310">
        <v>17970.5</v>
      </c>
      <c r="D20" s="310">
        <v>18366</v>
      </c>
      <c r="E20" s="260">
        <v>30000</v>
      </c>
      <c r="F20" s="369">
        <v>11890.5</v>
      </c>
    </row>
    <row r="21" spans="1:6" ht="15.75" x14ac:dyDescent="0.25">
      <c r="A21" s="305" t="s">
        <v>19</v>
      </c>
      <c r="B21" s="310">
        <v>2781.56</v>
      </c>
      <c r="C21" s="310">
        <v>1645.04</v>
      </c>
      <c r="D21" s="310">
        <v>1551.75</v>
      </c>
      <c r="E21" s="260">
        <v>2000</v>
      </c>
      <c r="F21" s="369">
        <v>4523.78</v>
      </c>
    </row>
    <row r="22" spans="1:6" ht="15.75" x14ac:dyDescent="0.25">
      <c r="A22" s="305" t="s">
        <v>544</v>
      </c>
      <c r="B22" s="310">
        <v>376803.07</v>
      </c>
      <c r="C22" s="310">
        <v>383924.33</v>
      </c>
      <c r="D22" s="310">
        <v>379709.69</v>
      </c>
      <c r="E22" s="260">
        <v>850000</v>
      </c>
      <c r="F22" s="369">
        <v>328488.09999999998</v>
      </c>
    </row>
    <row r="23" spans="1:6" ht="15.75" x14ac:dyDescent="0.25">
      <c r="A23" s="305" t="s">
        <v>22</v>
      </c>
      <c r="B23" s="310">
        <v>28918.25</v>
      </c>
      <c r="C23" s="310">
        <v>27250.2</v>
      </c>
      <c r="D23" s="310">
        <v>28166.06</v>
      </c>
      <c r="E23" s="260">
        <v>30000</v>
      </c>
      <c r="F23" s="369">
        <v>12271.78</v>
      </c>
    </row>
    <row r="24" spans="1:6" ht="15.75" x14ac:dyDescent="0.25">
      <c r="A24" s="305" t="s">
        <v>23</v>
      </c>
      <c r="B24" s="310">
        <v>32065.96</v>
      </c>
      <c r="C24" s="310">
        <v>18205.18</v>
      </c>
      <c r="D24" s="310">
        <v>9960.76</v>
      </c>
      <c r="E24" s="260">
        <v>12000</v>
      </c>
      <c r="F24" s="369">
        <v>4545.33</v>
      </c>
    </row>
    <row r="25" spans="1:6" ht="15.75" x14ac:dyDescent="0.25">
      <c r="A25" s="305" t="s">
        <v>24</v>
      </c>
      <c r="B25" s="310">
        <v>5331.96</v>
      </c>
      <c r="C25" s="310">
        <v>5331.96</v>
      </c>
      <c r="D25" s="310">
        <v>5332.2</v>
      </c>
      <c r="E25" s="260">
        <v>5400</v>
      </c>
      <c r="F25" s="369">
        <v>2721.36</v>
      </c>
    </row>
    <row r="26" spans="1:6" ht="15.75" x14ac:dyDescent="0.25">
      <c r="A26" s="305" t="s">
        <v>25</v>
      </c>
      <c r="B26" s="310">
        <v>17077.8</v>
      </c>
      <c r="C26" s="310">
        <v>23619.49</v>
      </c>
      <c r="D26" s="310">
        <v>21779.7</v>
      </c>
      <c r="E26" s="260">
        <v>25000</v>
      </c>
      <c r="F26" s="369">
        <v>11912.2</v>
      </c>
    </row>
    <row r="27" spans="1:6" ht="15.75" x14ac:dyDescent="0.25">
      <c r="A27" s="305" t="s">
        <v>26</v>
      </c>
      <c r="B27" s="310">
        <v>27214.55</v>
      </c>
      <c r="C27" s="310">
        <v>30250.799999999999</v>
      </c>
      <c r="D27" s="310">
        <v>32494.42</v>
      </c>
      <c r="E27" s="260">
        <v>45000</v>
      </c>
      <c r="F27" s="369">
        <v>30675.31</v>
      </c>
    </row>
    <row r="28" spans="1:6" ht="15.75" x14ac:dyDescent="0.25">
      <c r="A28" s="308" t="s">
        <v>28</v>
      </c>
      <c r="B28" s="312">
        <v>32344.5</v>
      </c>
      <c r="C28" s="312">
        <v>15419.88</v>
      </c>
      <c r="D28" s="312">
        <v>11619.19</v>
      </c>
      <c r="E28" s="312">
        <v>20000</v>
      </c>
      <c r="F28" s="370">
        <v>16419.900000000001</v>
      </c>
    </row>
    <row r="29" spans="1:6" s="339" customFormat="1" ht="15.75" x14ac:dyDescent="0.25">
      <c r="A29" s="304" t="s">
        <v>29</v>
      </c>
      <c r="B29" s="259">
        <f>SUM(B30:B51)</f>
        <v>924835.42</v>
      </c>
      <c r="C29" s="259">
        <f>SUM(C30:C51)</f>
        <v>964119.26</v>
      </c>
      <c r="D29" s="259">
        <f>SUM(D30:D51)</f>
        <v>1487791.6300000001</v>
      </c>
      <c r="E29" s="259">
        <f>SUM(E30:E51)</f>
        <v>2418000</v>
      </c>
      <c r="F29" s="364">
        <f>SUM(F30:F51)</f>
        <v>1024517.0700000001</v>
      </c>
    </row>
    <row r="30" spans="1:6" ht="15.75" x14ac:dyDescent="0.25">
      <c r="A30" s="305" t="s">
        <v>30</v>
      </c>
      <c r="B30" s="310">
        <v>100800</v>
      </c>
      <c r="C30" s="310">
        <v>51000</v>
      </c>
      <c r="D30" s="310">
        <v>1200</v>
      </c>
      <c r="E30" s="260">
        <v>1000</v>
      </c>
      <c r="F30" s="369">
        <v>100</v>
      </c>
    </row>
    <row r="31" spans="1:6" ht="15.75" x14ac:dyDescent="0.25">
      <c r="A31" s="305" t="s">
        <v>31</v>
      </c>
      <c r="B31" s="260">
        <v>27082</v>
      </c>
      <c r="C31" s="260">
        <v>27335.5</v>
      </c>
      <c r="D31" s="260">
        <v>19704.52</v>
      </c>
      <c r="E31" s="260">
        <v>25000</v>
      </c>
      <c r="F31" s="371">
        <v>15705.4</v>
      </c>
    </row>
    <row r="32" spans="1:6" ht="15.75" x14ac:dyDescent="0.25">
      <c r="A32" s="305" t="s">
        <v>32</v>
      </c>
      <c r="B32" s="310">
        <v>6057.5</v>
      </c>
      <c r="C32" s="310">
        <v>6435.5</v>
      </c>
      <c r="D32" s="310">
        <v>7110</v>
      </c>
      <c r="E32" s="260">
        <v>7000</v>
      </c>
      <c r="F32" s="369">
        <v>3277.5</v>
      </c>
    </row>
    <row r="33" spans="1:6" ht="15.75" x14ac:dyDescent="0.25">
      <c r="A33" s="305" t="s">
        <v>540</v>
      </c>
      <c r="B33" s="310">
        <v>1330</v>
      </c>
      <c r="C33" s="310">
        <v>1600</v>
      </c>
      <c r="D33" s="310">
        <v>1415</v>
      </c>
      <c r="E33" s="260">
        <v>1500</v>
      </c>
      <c r="F33" s="369">
        <v>852.5</v>
      </c>
    </row>
    <row r="34" spans="1:6" ht="15.75" x14ac:dyDescent="0.25">
      <c r="A34" s="305" t="s">
        <v>34</v>
      </c>
      <c r="B34" s="310">
        <v>542.5</v>
      </c>
      <c r="C34" s="310">
        <v>696</v>
      </c>
      <c r="D34" s="310">
        <v>521</v>
      </c>
      <c r="E34" s="260">
        <v>1000</v>
      </c>
      <c r="F34" s="369">
        <v>447</v>
      </c>
    </row>
    <row r="35" spans="1:6" ht="15.75" x14ac:dyDescent="0.25">
      <c r="A35" s="305" t="s">
        <v>35</v>
      </c>
      <c r="B35" s="310">
        <v>25707</v>
      </c>
      <c r="C35" s="310">
        <v>25771.5</v>
      </c>
      <c r="D35" s="310">
        <v>29500</v>
      </c>
      <c r="E35" s="260">
        <v>32000</v>
      </c>
      <c r="F35" s="369">
        <v>12960</v>
      </c>
    </row>
    <row r="36" spans="1:6" ht="15.75" x14ac:dyDescent="0.25">
      <c r="A36" s="305" t="s">
        <v>594</v>
      </c>
      <c r="B36" s="310">
        <v>67850.16</v>
      </c>
      <c r="C36" s="310">
        <v>11922.98</v>
      </c>
      <c r="D36" s="310">
        <v>14172.71</v>
      </c>
      <c r="E36" s="260">
        <v>35000</v>
      </c>
      <c r="F36" s="369">
        <v>20077.05</v>
      </c>
    </row>
    <row r="37" spans="1:6" ht="15.75" x14ac:dyDescent="0.25">
      <c r="A37" s="305" t="s">
        <v>425</v>
      </c>
      <c r="B37" s="310">
        <v>5922.13</v>
      </c>
      <c r="C37" s="310">
        <v>1667.5</v>
      </c>
      <c r="D37" s="310">
        <v>12260.09</v>
      </c>
      <c r="E37" s="260">
        <v>6000</v>
      </c>
      <c r="F37" s="369">
        <v>525.20000000000005</v>
      </c>
    </row>
    <row r="38" spans="1:6" ht="15.75" x14ac:dyDescent="0.25">
      <c r="A38" s="305" t="s">
        <v>38</v>
      </c>
      <c r="B38" s="260">
        <v>12263.44</v>
      </c>
      <c r="C38" s="260">
        <v>13117.89</v>
      </c>
      <c r="D38" s="260">
        <v>7148.81</v>
      </c>
      <c r="E38" s="260">
        <v>25000</v>
      </c>
      <c r="F38" s="371">
        <v>9337.14</v>
      </c>
    </row>
    <row r="39" spans="1:6" ht="15.75" x14ac:dyDescent="0.25">
      <c r="A39" s="305" t="s">
        <v>39</v>
      </c>
      <c r="B39" s="260">
        <v>2665.36</v>
      </c>
      <c r="C39" s="260">
        <v>6532.55</v>
      </c>
      <c r="D39" s="260">
        <v>20014.3</v>
      </c>
      <c r="E39" s="260">
        <v>5000</v>
      </c>
      <c r="F39" s="371">
        <v>2363.4</v>
      </c>
    </row>
    <row r="40" spans="1:6" ht="15.75" x14ac:dyDescent="0.25">
      <c r="A40" s="313" t="s">
        <v>41</v>
      </c>
      <c r="B40" s="260">
        <v>17276.22</v>
      </c>
      <c r="C40" s="260">
        <v>16602.66</v>
      </c>
      <c r="D40" s="260">
        <v>16331.22</v>
      </c>
      <c r="E40" s="260">
        <v>16000</v>
      </c>
      <c r="F40" s="371">
        <v>7793.17</v>
      </c>
    </row>
    <row r="41" spans="1:6" ht="15.75" x14ac:dyDescent="0.25">
      <c r="A41" s="305" t="s">
        <v>44</v>
      </c>
      <c r="B41" s="310">
        <v>79182.509999999995</v>
      </c>
      <c r="C41" s="310">
        <v>42115.66</v>
      </c>
      <c r="D41" s="310">
        <v>75222.92</v>
      </c>
      <c r="E41" s="260">
        <v>140000</v>
      </c>
      <c r="F41" s="369">
        <v>42934.39</v>
      </c>
    </row>
    <row r="42" spans="1:6" ht="15.75" x14ac:dyDescent="0.25">
      <c r="A42" s="305" t="s">
        <v>45</v>
      </c>
      <c r="B42" s="310">
        <v>51238</v>
      </c>
      <c r="C42" s="310">
        <v>72478.5</v>
      </c>
      <c r="D42" s="310">
        <v>53827.5</v>
      </c>
      <c r="E42" s="260">
        <v>90000</v>
      </c>
      <c r="F42" s="369">
        <v>32841.53</v>
      </c>
    </row>
    <row r="43" spans="1:6" ht="15.75" x14ac:dyDescent="0.25">
      <c r="A43" s="305" t="s">
        <v>455</v>
      </c>
      <c r="B43" s="310">
        <v>1959.22</v>
      </c>
      <c r="C43" s="310">
        <v>3091.15</v>
      </c>
      <c r="D43" s="310">
        <v>3826.92</v>
      </c>
      <c r="E43" s="260">
        <v>8000</v>
      </c>
      <c r="F43" s="369">
        <v>2796.3</v>
      </c>
    </row>
    <row r="44" spans="1:6" ht="15.75" x14ac:dyDescent="0.25">
      <c r="A44" s="305" t="s">
        <v>427</v>
      </c>
      <c r="B44" s="310">
        <v>4761</v>
      </c>
      <c r="C44" s="310">
        <v>3275</v>
      </c>
      <c r="D44" s="310">
        <v>4648</v>
      </c>
      <c r="E44" s="260">
        <v>7500</v>
      </c>
      <c r="F44" s="369">
        <v>835</v>
      </c>
    </row>
    <row r="45" spans="1:6" ht="15.75" x14ac:dyDescent="0.25">
      <c r="A45" s="305" t="s">
        <v>51</v>
      </c>
      <c r="B45" s="310">
        <v>13949</v>
      </c>
      <c r="C45" s="310">
        <v>13095.6</v>
      </c>
      <c r="D45" s="310">
        <v>14893</v>
      </c>
      <c r="E45" s="260">
        <v>35000</v>
      </c>
      <c r="F45" s="369">
        <v>28642</v>
      </c>
    </row>
    <row r="46" spans="1:6" ht="15.75" x14ac:dyDescent="0.25">
      <c r="A46" s="305" t="s">
        <v>429</v>
      </c>
      <c r="B46" s="260">
        <v>128593.1</v>
      </c>
      <c r="C46" s="260">
        <v>287082.09999999998</v>
      </c>
      <c r="D46" s="260">
        <v>282214.51</v>
      </c>
      <c r="E46" s="260">
        <v>470000</v>
      </c>
      <c r="F46" s="371">
        <v>233081.04</v>
      </c>
    </row>
    <row r="47" spans="1:6" ht="15.75" x14ac:dyDescent="0.25">
      <c r="A47" s="305" t="s">
        <v>586</v>
      </c>
      <c r="B47" s="260"/>
      <c r="C47" s="260"/>
      <c r="D47" s="260">
        <v>195595.37</v>
      </c>
      <c r="E47" s="260">
        <v>260000</v>
      </c>
      <c r="F47" s="371">
        <v>108767.4</v>
      </c>
    </row>
    <row r="48" spans="1:6" ht="15.75" x14ac:dyDescent="0.25">
      <c r="A48" s="305" t="s">
        <v>434</v>
      </c>
      <c r="B48" s="260">
        <v>10688.65</v>
      </c>
      <c r="C48" s="260">
        <v>12325.99</v>
      </c>
      <c r="D48" s="260">
        <v>6925.09</v>
      </c>
      <c r="E48" s="260">
        <v>10000</v>
      </c>
      <c r="F48" s="371">
        <v>1992.84</v>
      </c>
    </row>
    <row r="49" spans="1:6" s="488" customFormat="1" ht="15.75" x14ac:dyDescent="0.25">
      <c r="A49" s="309" t="s">
        <v>596</v>
      </c>
      <c r="B49" s="260">
        <v>366967.63</v>
      </c>
      <c r="C49" s="260">
        <v>367162.18</v>
      </c>
      <c r="D49" s="260">
        <v>262214.61</v>
      </c>
      <c r="E49" s="260">
        <v>641000</v>
      </c>
      <c r="F49" s="371">
        <v>319488.15999999997</v>
      </c>
    </row>
    <row r="50" spans="1:6" s="488" customFormat="1" ht="15.75" x14ac:dyDescent="0.25">
      <c r="A50" s="309" t="s">
        <v>460</v>
      </c>
      <c r="B50" s="260"/>
      <c r="C50" s="260"/>
      <c r="D50" s="260">
        <v>458238.46</v>
      </c>
      <c r="E50" s="260">
        <v>600000</v>
      </c>
      <c r="F50" s="371">
        <v>179700.05</v>
      </c>
    </row>
    <row r="51" spans="1:6" ht="15.75" x14ac:dyDescent="0.25">
      <c r="A51" s="305" t="s">
        <v>55</v>
      </c>
      <c r="B51" s="312"/>
      <c r="C51" s="312">
        <v>811</v>
      </c>
      <c r="D51" s="312">
        <v>807.6</v>
      </c>
      <c r="E51" s="312">
        <v>2000</v>
      </c>
      <c r="F51" s="370">
        <v>0</v>
      </c>
    </row>
    <row r="52" spans="1:6" ht="15.75" x14ac:dyDescent="0.25">
      <c r="A52" s="307" t="s">
        <v>583</v>
      </c>
      <c r="B52" s="259">
        <f>SUM(B53:B60)</f>
        <v>170243.06000000003</v>
      </c>
      <c r="C52" s="259">
        <f>SUM(C53:C60)</f>
        <v>248286.1</v>
      </c>
      <c r="D52" s="259">
        <f>SUM(D53:D60)</f>
        <v>216946.78</v>
      </c>
      <c r="E52" s="259">
        <f>SUM(E53:E60)</f>
        <v>298000</v>
      </c>
      <c r="F52" s="364">
        <f>SUM(F53:F60)</f>
        <v>238556.47999999998</v>
      </c>
    </row>
    <row r="53" spans="1:6" ht="15.75" x14ac:dyDescent="0.25">
      <c r="A53" s="305" t="s">
        <v>433</v>
      </c>
      <c r="B53" s="260">
        <v>140003.22</v>
      </c>
      <c r="C53" s="260">
        <v>152185.95000000001</v>
      </c>
      <c r="D53" s="260">
        <v>158018.9</v>
      </c>
      <c r="E53" s="260">
        <v>80000</v>
      </c>
      <c r="F53" s="371">
        <v>58018.95</v>
      </c>
    </row>
    <row r="54" spans="1:6" ht="15.75" x14ac:dyDescent="0.25">
      <c r="A54" s="305" t="s">
        <v>541</v>
      </c>
      <c r="B54" s="260"/>
      <c r="C54" s="260"/>
      <c r="D54" s="260"/>
      <c r="E54" s="260">
        <v>10000</v>
      </c>
      <c r="F54" s="371">
        <v>8944.69</v>
      </c>
    </row>
    <row r="55" spans="1:6" ht="15.75" x14ac:dyDescent="0.25">
      <c r="A55" s="305" t="s">
        <v>426</v>
      </c>
      <c r="B55" s="260">
        <v>8008.97</v>
      </c>
      <c r="C55" s="260">
        <v>15249.42</v>
      </c>
      <c r="D55" s="260">
        <v>24202.33</v>
      </c>
      <c r="E55" s="260">
        <v>150000</v>
      </c>
      <c r="F55" s="371">
        <v>156998.03</v>
      </c>
    </row>
    <row r="56" spans="1:6" ht="15.75" x14ac:dyDescent="0.25">
      <c r="A56" s="305" t="s">
        <v>456</v>
      </c>
      <c r="B56" s="260">
        <v>2061.63</v>
      </c>
      <c r="C56" s="260">
        <v>13776.63</v>
      </c>
      <c r="D56" s="260">
        <v>10075.66</v>
      </c>
      <c r="E56" s="260">
        <v>10000</v>
      </c>
      <c r="F56" s="371">
        <v>11091.14</v>
      </c>
    </row>
    <row r="57" spans="1:6" ht="15.75" x14ac:dyDescent="0.25">
      <c r="A57" s="305" t="s">
        <v>635</v>
      </c>
      <c r="B57" s="260"/>
      <c r="C57" s="260"/>
      <c r="D57" s="260"/>
      <c r="E57" s="260">
        <v>15000</v>
      </c>
      <c r="F57" s="371"/>
    </row>
    <row r="58" spans="1:6" ht="15.75" x14ac:dyDescent="0.25">
      <c r="A58" s="305" t="s">
        <v>58</v>
      </c>
      <c r="B58" s="260">
        <v>3730.69</v>
      </c>
      <c r="C58" s="260">
        <v>1211.0999999999999</v>
      </c>
      <c r="D58" s="260">
        <v>2183.0100000000002</v>
      </c>
      <c r="E58" s="260">
        <v>2500</v>
      </c>
      <c r="F58" s="371">
        <v>1156.74</v>
      </c>
    </row>
    <row r="59" spans="1:6" ht="15.75" x14ac:dyDescent="0.25">
      <c r="A59" s="305" t="s">
        <v>592</v>
      </c>
      <c r="B59" s="260">
        <v>16116.92</v>
      </c>
      <c r="C59" s="260">
        <v>65575.92</v>
      </c>
      <c r="D59" s="260">
        <v>21879.32</v>
      </c>
      <c r="E59" s="260">
        <v>30000</v>
      </c>
      <c r="F59" s="371">
        <v>2234.5300000000002</v>
      </c>
    </row>
    <row r="60" spans="1:6" ht="15.75" x14ac:dyDescent="0.25">
      <c r="A60" s="305" t="s">
        <v>587</v>
      </c>
      <c r="B60" s="260">
        <v>321.63</v>
      </c>
      <c r="C60" s="260">
        <v>287.08</v>
      </c>
      <c r="D60" s="260">
        <v>587.55999999999995</v>
      </c>
      <c r="E60" s="260">
        <v>500</v>
      </c>
      <c r="F60" s="371">
        <v>112.4</v>
      </c>
    </row>
    <row r="61" spans="1:6" s="339" customFormat="1" ht="15.75" x14ac:dyDescent="0.25">
      <c r="A61" s="337" t="s">
        <v>66</v>
      </c>
      <c r="B61" s="338">
        <f>SUM(B62:B89)</f>
        <v>3709901.7699999996</v>
      </c>
      <c r="C61" s="338">
        <f>SUM(C62:C89)</f>
        <v>4254799.6999999993</v>
      </c>
      <c r="D61" s="338">
        <f>SUM(D62:D89)</f>
        <v>4564533.1599999992</v>
      </c>
      <c r="E61" s="338">
        <f>SUM(E62:E89)</f>
        <v>10609818</v>
      </c>
      <c r="F61" s="372">
        <f>SUM(F62:F89)</f>
        <v>5364521.32</v>
      </c>
    </row>
    <row r="62" spans="1:6" s="488" customFormat="1" ht="15.75" x14ac:dyDescent="0.25">
      <c r="A62" s="309" t="s">
        <v>68</v>
      </c>
      <c r="B62" s="260">
        <v>11225.27</v>
      </c>
      <c r="C62" s="260">
        <v>17138.689999999999</v>
      </c>
      <c r="D62" s="260">
        <v>23519.75</v>
      </c>
      <c r="E62" s="260">
        <v>40000</v>
      </c>
      <c r="F62" s="371">
        <v>22011.24</v>
      </c>
    </row>
    <row r="63" spans="1:6" s="488" customFormat="1" ht="15.75" x14ac:dyDescent="0.25">
      <c r="A63" s="309" t="s">
        <v>448</v>
      </c>
      <c r="B63" s="260">
        <v>700</v>
      </c>
      <c r="C63" s="260">
        <v>1400</v>
      </c>
      <c r="D63" s="260">
        <v>1598.13</v>
      </c>
      <c r="E63" s="260">
        <v>1400</v>
      </c>
      <c r="F63" s="371">
        <v>1400</v>
      </c>
    </row>
    <row r="64" spans="1:6" s="488" customFormat="1" ht="15.75" x14ac:dyDescent="0.25">
      <c r="A64" s="309" t="s">
        <v>534</v>
      </c>
      <c r="B64" s="260"/>
      <c r="C64" s="260"/>
      <c r="D64" s="260">
        <v>350</v>
      </c>
      <c r="E64" s="260">
        <v>600</v>
      </c>
      <c r="F64" s="371">
        <v>600</v>
      </c>
    </row>
    <row r="65" spans="1:6" s="488" customFormat="1" ht="15.75" x14ac:dyDescent="0.25">
      <c r="A65" s="309" t="s">
        <v>447</v>
      </c>
      <c r="B65" s="260">
        <v>1000</v>
      </c>
      <c r="C65" s="260"/>
      <c r="D65" s="260"/>
      <c r="E65" s="260">
        <v>1300</v>
      </c>
      <c r="F65" s="371">
        <v>1170</v>
      </c>
    </row>
    <row r="66" spans="1:6" s="488" customFormat="1" ht="15.75" x14ac:dyDescent="0.25">
      <c r="A66" s="556" t="s">
        <v>435</v>
      </c>
      <c r="B66" s="260">
        <v>48567.12</v>
      </c>
      <c r="C66" s="260">
        <v>32262.89</v>
      </c>
      <c r="D66" s="260">
        <v>34918.19</v>
      </c>
      <c r="E66" s="260">
        <v>50000</v>
      </c>
      <c r="F66" s="371">
        <v>25980.75</v>
      </c>
    </row>
    <row r="67" spans="1:6" s="488" customFormat="1" ht="15.75" x14ac:dyDescent="0.25">
      <c r="A67" s="556" t="s">
        <v>545</v>
      </c>
      <c r="B67" s="260"/>
      <c r="C67" s="260"/>
      <c r="D67" s="260"/>
      <c r="E67" s="260">
        <v>10000</v>
      </c>
      <c r="F67" s="371"/>
    </row>
    <row r="68" spans="1:6" s="488" customFormat="1" ht="15.75" x14ac:dyDescent="0.25">
      <c r="A68" s="313" t="s">
        <v>617</v>
      </c>
      <c r="B68" s="260"/>
      <c r="C68" s="260"/>
      <c r="D68" s="260"/>
      <c r="E68" s="260">
        <v>1672</v>
      </c>
      <c r="F68" s="371"/>
    </row>
    <row r="69" spans="1:6" s="488" customFormat="1" ht="15.75" x14ac:dyDescent="0.25">
      <c r="A69" s="313" t="s">
        <v>618</v>
      </c>
      <c r="B69" s="260"/>
      <c r="C69" s="260"/>
      <c r="D69" s="260"/>
      <c r="E69" s="260">
        <v>5665</v>
      </c>
      <c r="F69" s="371">
        <v>5660.68</v>
      </c>
    </row>
    <row r="70" spans="1:6" s="488" customFormat="1" ht="15.75" x14ac:dyDescent="0.25">
      <c r="A70" s="309" t="s">
        <v>563</v>
      </c>
      <c r="B70" s="260"/>
      <c r="C70" s="260">
        <v>2093.2800000000002</v>
      </c>
      <c r="D70" s="260">
        <v>1231.04</v>
      </c>
      <c r="E70" s="260">
        <v>10000</v>
      </c>
      <c r="F70" s="371">
        <v>3480</v>
      </c>
    </row>
    <row r="71" spans="1:6" s="488" customFormat="1" ht="15.75" x14ac:dyDescent="0.25">
      <c r="A71" s="309" t="s">
        <v>564</v>
      </c>
      <c r="B71" s="260">
        <v>137072</v>
      </c>
      <c r="C71" s="260">
        <v>155280</v>
      </c>
      <c r="D71" s="260">
        <v>153666.59</v>
      </c>
      <c r="E71" s="260">
        <v>369090</v>
      </c>
      <c r="F71" s="371">
        <v>179023.41</v>
      </c>
    </row>
    <row r="72" spans="1:6" s="488" customFormat="1" ht="15.75" x14ac:dyDescent="0.25">
      <c r="A72" s="309" t="s">
        <v>565</v>
      </c>
      <c r="B72" s="260"/>
      <c r="C72" s="260">
        <v>307200</v>
      </c>
      <c r="D72" s="260">
        <v>331089.76</v>
      </c>
      <c r="E72" s="260">
        <v>634620</v>
      </c>
      <c r="F72" s="371">
        <v>313565.3</v>
      </c>
    </row>
    <row r="73" spans="1:6" s="488" customFormat="1" ht="15.75" x14ac:dyDescent="0.25">
      <c r="A73" s="309" t="s">
        <v>566</v>
      </c>
      <c r="B73" s="260">
        <v>13089.83</v>
      </c>
      <c r="C73" s="260">
        <v>13460.07</v>
      </c>
      <c r="D73" s="260">
        <v>14421.88</v>
      </c>
      <c r="E73" s="260">
        <v>20500</v>
      </c>
      <c r="F73" s="371">
        <v>20497.349999999999</v>
      </c>
    </row>
    <row r="74" spans="1:6" s="488" customFormat="1" ht="15.75" x14ac:dyDescent="0.25">
      <c r="A74" s="556" t="s">
        <v>567</v>
      </c>
      <c r="B74" s="260">
        <v>3137101</v>
      </c>
      <c r="C74" s="260">
        <v>3374431</v>
      </c>
      <c r="D74" s="260">
        <v>3557676</v>
      </c>
      <c r="E74" s="260">
        <v>6200000</v>
      </c>
      <c r="F74" s="371">
        <v>2955367</v>
      </c>
    </row>
    <row r="75" spans="1:6" s="488" customFormat="1" ht="15.75" x14ac:dyDescent="0.25">
      <c r="A75" s="556" t="s">
        <v>568</v>
      </c>
      <c r="B75" s="260">
        <v>21332.34</v>
      </c>
      <c r="C75" s="260">
        <v>21124.02</v>
      </c>
      <c r="D75" s="260">
        <v>24935.040000000001</v>
      </c>
      <c r="E75" s="260">
        <v>32000</v>
      </c>
      <c r="F75" s="371"/>
    </row>
    <row r="76" spans="1:6" s="488" customFormat="1" ht="15.75" x14ac:dyDescent="0.25">
      <c r="A76" s="556" t="s">
        <v>569</v>
      </c>
      <c r="B76" s="260">
        <v>11294.92</v>
      </c>
      <c r="C76" s="260">
        <v>11237.78</v>
      </c>
      <c r="D76" s="260">
        <v>11204.61</v>
      </c>
      <c r="E76" s="260">
        <v>12000</v>
      </c>
      <c r="F76" s="371">
        <v>10846.38</v>
      </c>
    </row>
    <row r="77" spans="1:6" s="488" customFormat="1" ht="15.75" x14ac:dyDescent="0.25">
      <c r="A77" s="556" t="s">
        <v>570</v>
      </c>
      <c r="B77" s="260">
        <v>990.92</v>
      </c>
      <c r="C77" s="260">
        <v>981.24</v>
      </c>
      <c r="D77" s="260">
        <v>970.44</v>
      </c>
      <c r="E77" s="260">
        <v>2000</v>
      </c>
      <c r="F77" s="371">
        <v>887.85</v>
      </c>
    </row>
    <row r="78" spans="1:6" s="488" customFormat="1" ht="15.75" x14ac:dyDescent="0.25">
      <c r="A78" s="556" t="s">
        <v>571</v>
      </c>
      <c r="B78" s="260">
        <v>2145.48</v>
      </c>
      <c r="C78" s="260">
        <v>2122.6</v>
      </c>
      <c r="D78" s="260">
        <v>2143</v>
      </c>
      <c r="E78" s="260">
        <v>2500</v>
      </c>
      <c r="F78" s="371">
        <v>2487.31</v>
      </c>
    </row>
    <row r="79" spans="1:6" s="488" customFormat="1" ht="15.75" x14ac:dyDescent="0.25">
      <c r="A79" s="556" t="s">
        <v>572</v>
      </c>
      <c r="B79" s="260">
        <v>7618.54</v>
      </c>
      <c r="C79" s="260">
        <v>10484.82</v>
      </c>
      <c r="D79" s="260">
        <v>8162.32</v>
      </c>
      <c r="E79" s="260">
        <v>7500</v>
      </c>
      <c r="F79" s="371">
        <f>256.4+6782.16</f>
        <v>7038.5599999999995</v>
      </c>
    </row>
    <row r="80" spans="1:6" s="488" customFormat="1" ht="15.75" x14ac:dyDescent="0.25">
      <c r="A80" s="556" t="s">
        <v>573</v>
      </c>
      <c r="B80" s="260">
        <v>41013</v>
      </c>
      <c r="C80" s="260">
        <v>42704</v>
      </c>
      <c r="D80" s="260">
        <v>44258</v>
      </c>
      <c r="E80" s="260">
        <v>45000</v>
      </c>
      <c r="F80" s="371">
        <v>21624</v>
      </c>
    </row>
    <row r="81" spans="1:6" s="488" customFormat="1" ht="15.75" x14ac:dyDescent="0.25">
      <c r="A81" s="556" t="s">
        <v>574</v>
      </c>
      <c r="B81" s="260">
        <v>239546.4</v>
      </c>
      <c r="C81" s="260">
        <v>228775.85</v>
      </c>
      <c r="D81" s="260">
        <v>260645.55</v>
      </c>
      <c r="E81" s="260">
        <v>1815903</v>
      </c>
      <c r="F81" s="371">
        <v>1017993.7</v>
      </c>
    </row>
    <row r="82" spans="1:6" s="488" customFormat="1" ht="15.75" x14ac:dyDescent="0.25">
      <c r="A82" s="556" t="s">
        <v>588</v>
      </c>
      <c r="B82" s="260"/>
      <c r="C82" s="260"/>
      <c r="D82" s="260">
        <v>53052</v>
      </c>
      <c r="E82" s="260">
        <v>625800</v>
      </c>
      <c r="F82" s="371">
        <f>4795.54+251277.38</f>
        <v>256072.92</v>
      </c>
    </row>
    <row r="83" spans="1:6" s="488" customFormat="1" ht="15.75" x14ac:dyDescent="0.25">
      <c r="A83" s="556" t="s">
        <v>582</v>
      </c>
      <c r="B83" s="260"/>
      <c r="C83" s="260"/>
      <c r="D83" s="260">
        <v>1600</v>
      </c>
      <c r="E83" s="260">
        <v>7500</v>
      </c>
      <c r="F83" s="371">
        <v>3500</v>
      </c>
    </row>
    <row r="84" spans="1:6" s="488" customFormat="1" ht="15.75" x14ac:dyDescent="0.25">
      <c r="A84" s="556" t="s">
        <v>612</v>
      </c>
      <c r="B84" s="260"/>
      <c r="C84" s="260"/>
      <c r="D84" s="260"/>
      <c r="E84" s="260">
        <v>500000</v>
      </c>
      <c r="F84" s="371">
        <v>370710</v>
      </c>
    </row>
    <row r="85" spans="1:6" s="488" customFormat="1" ht="15" customHeight="1" x14ac:dyDescent="0.25">
      <c r="A85" s="556" t="s">
        <v>575</v>
      </c>
      <c r="B85" s="260">
        <v>23181.69</v>
      </c>
      <c r="C85" s="260">
        <v>20738.900000000001</v>
      </c>
      <c r="D85" s="260">
        <v>23889.18</v>
      </c>
      <c r="E85" s="260">
        <v>37500</v>
      </c>
      <c r="F85" s="371">
        <v>37363</v>
      </c>
    </row>
    <row r="86" spans="1:6" s="488" customFormat="1" ht="15" customHeight="1" x14ac:dyDescent="0.25">
      <c r="A86" s="556" t="s">
        <v>576</v>
      </c>
      <c r="B86" s="260"/>
      <c r="C86" s="260"/>
      <c r="D86" s="260"/>
      <c r="E86" s="260">
        <v>10000</v>
      </c>
      <c r="F86" s="371"/>
    </row>
    <row r="87" spans="1:6" s="488" customFormat="1" ht="15.75" x14ac:dyDescent="0.25">
      <c r="A87" s="556" t="s">
        <v>590</v>
      </c>
      <c r="B87" s="260">
        <v>12423.26</v>
      </c>
      <c r="C87" s="260">
        <v>8164.56</v>
      </c>
      <c r="D87" s="260">
        <v>10001.68</v>
      </c>
      <c r="E87" s="260">
        <v>60000</v>
      </c>
      <c r="F87" s="371">
        <v>53349.26</v>
      </c>
    </row>
    <row r="88" spans="1:6" s="488" customFormat="1" ht="15.75" x14ac:dyDescent="0.25">
      <c r="A88" s="556" t="s">
        <v>577</v>
      </c>
      <c r="B88" s="260"/>
      <c r="C88" s="260"/>
      <c r="D88" s="260"/>
      <c r="E88" s="260">
        <v>105000</v>
      </c>
      <c r="F88" s="371">
        <v>53892.61</v>
      </c>
    </row>
    <row r="89" spans="1:6" s="488" customFormat="1" ht="16.5" thickBot="1" x14ac:dyDescent="0.3">
      <c r="A89" s="556" t="s">
        <v>578</v>
      </c>
      <c r="B89" s="260">
        <v>1600</v>
      </c>
      <c r="C89" s="260">
        <v>5200</v>
      </c>
      <c r="D89" s="260">
        <v>5200</v>
      </c>
      <c r="E89" s="260">
        <v>2268</v>
      </c>
      <c r="F89" s="371"/>
    </row>
    <row r="90" spans="1:6" ht="18.75" thickBot="1" x14ac:dyDescent="0.3">
      <c r="A90" s="315" t="s">
        <v>407</v>
      </c>
      <c r="B90" s="316">
        <f>B91+B95</f>
        <v>150972.09</v>
      </c>
      <c r="C90" s="316">
        <f t="shared" ref="C90:D90" si="8">C91+C95</f>
        <v>353171.15</v>
      </c>
      <c r="D90" s="316">
        <f t="shared" si="8"/>
        <v>1292193.8999999999</v>
      </c>
      <c r="E90" s="316">
        <f t="shared" ref="E90:F90" si="9">E91+E95</f>
        <v>5536072</v>
      </c>
      <c r="F90" s="373">
        <f t="shared" si="9"/>
        <v>700048.2</v>
      </c>
    </row>
    <row r="91" spans="1:6" ht="18.75" thickBot="1" x14ac:dyDescent="0.3">
      <c r="A91" s="331" t="s">
        <v>111</v>
      </c>
      <c r="B91" s="332">
        <f>SUM(B92:B94)</f>
        <v>150972.09</v>
      </c>
      <c r="C91" s="332">
        <f t="shared" ref="C91:D91" si="10">SUM(C92:C94)</f>
        <v>353171.15</v>
      </c>
      <c r="D91" s="332">
        <f t="shared" si="10"/>
        <v>421965.55</v>
      </c>
      <c r="E91" s="332">
        <f t="shared" ref="E91:F91" si="11">SUM(E92:E94)</f>
        <v>830000</v>
      </c>
      <c r="F91" s="374">
        <f t="shared" si="11"/>
        <v>122249.2</v>
      </c>
    </row>
    <row r="92" spans="1:6" ht="15.75" x14ac:dyDescent="0.25">
      <c r="A92" s="318" t="s">
        <v>546</v>
      </c>
      <c r="B92" s="336">
        <v>1086.8800000000001</v>
      </c>
      <c r="C92" s="336">
        <v>36663.440000000002</v>
      </c>
      <c r="D92" s="336">
        <v>104832.89</v>
      </c>
      <c r="E92" s="336">
        <v>30000</v>
      </c>
      <c r="F92" s="375"/>
    </row>
    <row r="93" spans="1:6" ht="15.75" x14ac:dyDescent="0.25">
      <c r="A93" s="318" t="s">
        <v>114</v>
      </c>
      <c r="B93" s="336"/>
      <c r="C93" s="336">
        <v>650</v>
      </c>
      <c r="D93" s="336">
        <v>225</v>
      </c>
      <c r="E93" s="336"/>
      <c r="F93" s="375"/>
    </row>
    <row r="94" spans="1:6" ht="16.5" thickBot="1" x14ac:dyDescent="0.3">
      <c r="A94" s="333" t="s">
        <v>115</v>
      </c>
      <c r="B94" s="334">
        <v>149885.21</v>
      </c>
      <c r="C94" s="334">
        <v>315857.71000000002</v>
      </c>
      <c r="D94" s="334">
        <v>316907.65999999997</v>
      </c>
      <c r="E94" s="334">
        <v>800000</v>
      </c>
      <c r="F94" s="376">
        <v>122249.2</v>
      </c>
    </row>
    <row r="95" spans="1:6" ht="18.75" thickBot="1" x14ac:dyDescent="0.3">
      <c r="A95" s="319" t="s">
        <v>116</v>
      </c>
      <c r="B95" s="320">
        <f>SUM(B96:B101)</f>
        <v>0</v>
      </c>
      <c r="C95" s="320">
        <f>SUM(C96:C101)</f>
        <v>0</v>
      </c>
      <c r="D95" s="320">
        <f>SUM(D96:D101)</f>
        <v>870228.35</v>
      </c>
      <c r="E95" s="320">
        <f>SUM(E96:E101)</f>
        <v>4706072</v>
      </c>
      <c r="F95" s="377">
        <f>SUM(F96:F101)</f>
        <v>577799</v>
      </c>
    </row>
    <row r="96" spans="1:6" ht="15.75" x14ac:dyDescent="0.25">
      <c r="A96" s="305" t="s">
        <v>535</v>
      </c>
      <c r="B96" s="310"/>
      <c r="C96" s="310"/>
      <c r="D96" s="310">
        <v>870228.35</v>
      </c>
      <c r="E96" s="260">
        <v>2492000</v>
      </c>
      <c r="F96" s="369"/>
    </row>
    <row r="97" spans="1:6" s="488" customFormat="1" ht="15.75" x14ac:dyDescent="0.25">
      <c r="A97" s="309" t="s">
        <v>584</v>
      </c>
      <c r="B97" s="260"/>
      <c r="C97" s="260"/>
      <c r="D97" s="260"/>
      <c r="E97" s="260">
        <v>370000</v>
      </c>
      <c r="F97" s="371">
        <v>262481.19</v>
      </c>
    </row>
    <row r="98" spans="1:6" s="488" customFormat="1" ht="15.75" x14ac:dyDescent="0.25">
      <c r="A98" s="309" t="s">
        <v>593</v>
      </c>
      <c r="B98" s="260"/>
      <c r="C98" s="260"/>
      <c r="D98" s="260"/>
      <c r="E98" s="260">
        <v>16000</v>
      </c>
      <c r="F98" s="371">
        <v>16000</v>
      </c>
    </row>
    <row r="99" spans="1:6" s="488" customFormat="1" ht="15.75" x14ac:dyDescent="0.25">
      <c r="A99" s="309" t="s">
        <v>619</v>
      </c>
      <c r="B99" s="260"/>
      <c r="C99" s="260"/>
      <c r="D99" s="260"/>
      <c r="E99" s="260">
        <v>1560500</v>
      </c>
      <c r="F99" s="371">
        <v>32809.089999999997</v>
      </c>
    </row>
    <row r="100" spans="1:6" s="488" customFormat="1" ht="15.75" x14ac:dyDescent="0.25">
      <c r="A100" s="309" t="s">
        <v>605</v>
      </c>
      <c r="B100" s="260"/>
      <c r="C100" s="260"/>
      <c r="D100" s="260"/>
      <c r="E100" s="260">
        <v>264840</v>
      </c>
      <c r="F100" s="371">
        <v>266508.71999999997</v>
      </c>
    </row>
    <row r="101" spans="1:6" s="488" customFormat="1" ht="16.5" thickBot="1" x14ac:dyDescent="0.3">
      <c r="A101" s="309" t="s">
        <v>646</v>
      </c>
      <c r="B101" s="260"/>
      <c r="C101" s="260"/>
      <c r="D101" s="260"/>
      <c r="E101" s="260">
        <v>2732</v>
      </c>
      <c r="F101" s="371"/>
    </row>
    <row r="102" spans="1:6" ht="18.75" thickBot="1" x14ac:dyDescent="0.3">
      <c r="A102" s="252" t="s">
        <v>398</v>
      </c>
      <c r="B102" s="301">
        <f>SUM(B103:B109)</f>
        <v>760002.99</v>
      </c>
      <c r="C102" s="301">
        <f>SUM(C103:C109)</f>
        <v>3592254.8200000003</v>
      </c>
      <c r="D102" s="301">
        <f>SUM(D103:D109)</f>
        <v>1755689.5899999999</v>
      </c>
      <c r="E102" s="301">
        <f>SUM(E103:E109)</f>
        <v>4873650</v>
      </c>
      <c r="F102" s="362">
        <f>SUM(F103:F109)</f>
        <v>2637274.48</v>
      </c>
    </row>
    <row r="103" spans="1:6" s="488" customFormat="1" ht="15.75" x14ac:dyDescent="0.25">
      <c r="A103" s="309" t="s">
        <v>457</v>
      </c>
      <c r="B103" s="260">
        <v>760002.99</v>
      </c>
      <c r="C103" s="260">
        <v>450000</v>
      </c>
      <c r="D103" s="260">
        <v>920800</v>
      </c>
      <c r="E103" s="260">
        <v>562700</v>
      </c>
      <c r="F103" s="371">
        <v>367350</v>
      </c>
    </row>
    <row r="104" spans="1:6" s="488" customFormat="1" ht="15.75" x14ac:dyDescent="0.25">
      <c r="A104" s="309" t="s">
        <v>539</v>
      </c>
      <c r="B104" s="260"/>
      <c r="C104" s="260"/>
      <c r="D104" s="260">
        <v>50.63</v>
      </c>
      <c r="E104" s="260">
        <v>45000</v>
      </c>
      <c r="F104" s="371">
        <v>12038.04</v>
      </c>
    </row>
    <row r="105" spans="1:6" s="488" customFormat="1" ht="15.75" x14ac:dyDescent="0.25">
      <c r="A105" s="309" t="s">
        <v>458</v>
      </c>
      <c r="B105" s="260"/>
      <c r="C105" s="260">
        <v>6582.47</v>
      </c>
      <c r="D105" s="260">
        <v>90554.32</v>
      </c>
      <c r="E105" s="260">
        <v>946250</v>
      </c>
      <c r="F105" s="371">
        <f>2338.49+82824.21+305589.61+237081.9+56923.89+40884.65</f>
        <v>725642.75</v>
      </c>
    </row>
    <row r="106" spans="1:6" s="488" customFormat="1" ht="15.75" x14ac:dyDescent="0.25">
      <c r="A106" s="309" t="s">
        <v>536</v>
      </c>
      <c r="B106" s="260"/>
      <c r="C106" s="260"/>
      <c r="D106" s="260">
        <v>35722.51</v>
      </c>
      <c r="E106" s="260"/>
      <c r="F106" s="371">
        <v>4473.2700000000004</v>
      </c>
    </row>
    <row r="107" spans="1:6" s="488" customFormat="1" ht="15.75" x14ac:dyDescent="0.25">
      <c r="A107" s="309" t="s">
        <v>608</v>
      </c>
      <c r="B107" s="260"/>
      <c r="C107" s="260"/>
      <c r="D107" s="260"/>
      <c r="E107" s="260">
        <v>7150</v>
      </c>
      <c r="F107" s="371">
        <v>3493.8</v>
      </c>
    </row>
    <row r="108" spans="1:6" s="488" customFormat="1" ht="15.75" x14ac:dyDescent="0.25">
      <c r="A108" s="309" t="s">
        <v>595</v>
      </c>
      <c r="B108" s="260"/>
      <c r="C108" s="260"/>
      <c r="D108" s="260"/>
      <c r="E108" s="260">
        <v>3000000</v>
      </c>
      <c r="F108" s="371">
        <v>1211735.94</v>
      </c>
    </row>
    <row r="109" spans="1:6" ht="16.5" thickBot="1" x14ac:dyDescent="0.3">
      <c r="A109" s="305" t="s">
        <v>129</v>
      </c>
      <c r="B109" s="314"/>
      <c r="C109" s="314">
        <v>3135672.35</v>
      </c>
      <c r="D109" s="314">
        <v>708562.13</v>
      </c>
      <c r="E109" s="426">
        <v>312550</v>
      </c>
      <c r="F109" s="566">
        <v>312540.68</v>
      </c>
    </row>
    <row r="110" spans="1:6" ht="24" thickBot="1" x14ac:dyDescent="0.4">
      <c r="A110" s="321" t="s">
        <v>130</v>
      </c>
      <c r="B110" s="322">
        <f>B3+B90+B102</f>
        <v>14818616.52</v>
      </c>
      <c r="C110" s="322">
        <f>C102+C90+C3</f>
        <v>18986133.079999998</v>
      </c>
      <c r="D110" s="322">
        <f>D102+D90+D3</f>
        <v>19770361</v>
      </c>
      <c r="E110" s="322">
        <f>E102+E90+E3</f>
        <v>37876940</v>
      </c>
      <c r="F110" s="347">
        <f>F102+F90+F3</f>
        <v>17075379.879999999</v>
      </c>
    </row>
    <row r="111" spans="1:6" ht="15.75" x14ac:dyDescent="0.25">
      <c r="A111" s="323"/>
    </row>
  </sheetData>
  <sheetProtection selectLockedCells="1" selectUnlockedCells="1"/>
  <mergeCells count="1">
    <mergeCell ref="A1:F1"/>
  </mergeCells>
  <phoneticPr fontId="0" type="noConversion"/>
  <pageMargins left="1.1811023622047245" right="0" top="0" bottom="0" header="0.51181102362204722" footer="0.51181102362204722"/>
  <pageSetup paperSize="8" scale="55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4.85546875" style="102" bestFit="1" customWidth="1"/>
    <col min="6" max="7" width="13.5703125" style="102" bestFit="1" customWidth="1"/>
    <col min="8" max="9" width="16" style="348" bestFit="1" customWidth="1"/>
    <col min="10" max="11" width="14.85546875" style="348" bestFit="1" customWidth="1"/>
    <col min="12" max="16384" width="9.140625" style="101"/>
  </cols>
  <sheetData>
    <row r="1" spans="1:11" ht="27.75" customHeight="1" x14ac:dyDescent="0.2">
      <c r="A1" s="121"/>
      <c r="B1" s="700" t="s">
        <v>644</v>
      </c>
      <c r="C1" s="700"/>
      <c r="D1" s="700"/>
      <c r="E1" s="700"/>
      <c r="F1" s="700"/>
      <c r="G1" s="700"/>
      <c r="H1" s="700"/>
      <c r="I1" s="700"/>
      <c r="J1" s="700"/>
      <c r="K1" s="700"/>
    </row>
    <row r="2" spans="1:11" ht="7.5" customHeight="1" thickBot="1" x14ac:dyDescent="0.25">
      <c r="A2" s="121"/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ht="13.5" customHeight="1" thickBot="1" x14ac:dyDescent="0.25">
      <c r="A3" s="121"/>
      <c r="D3" s="701" t="s">
        <v>627</v>
      </c>
      <c r="E3" s="702"/>
      <c r="F3" s="702"/>
      <c r="G3" s="703"/>
      <c r="H3" s="707" t="s">
        <v>629</v>
      </c>
      <c r="I3" s="708"/>
      <c r="J3" s="708"/>
      <c r="K3" s="709"/>
    </row>
    <row r="4" spans="1:11" ht="21" customHeight="1" x14ac:dyDescent="0.2">
      <c r="A4" s="121"/>
      <c r="B4" s="713" t="s">
        <v>405</v>
      </c>
      <c r="C4" s="714"/>
      <c r="D4" s="704"/>
      <c r="E4" s="705"/>
      <c r="F4" s="705"/>
      <c r="G4" s="706"/>
      <c r="H4" s="710"/>
      <c r="I4" s="711"/>
      <c r="J4" s="711"/>
      <c r="K4" s="712"/>
    </row>
    <row r="5" spans="1:11" ht="24.75" thickBot="1" x14ac:dyDescent="0.25">
      <c r="A5" s="121"/>
      <c r="B5" s="715"/>
      <c r="C5" s="716"/>
      <c r="D5" s="354" t="s">
        <v>395</v>
      </c>
      <c r="E5" s="356" t="s">
        <v>408</v>
      </c>
      <c r="F5" s="356" t="s">
        <v>409</v>
      </c>
      <c r="G5" s="353" t="s">
        <v>400</v>
      </c>
      <c r="H5" s="622" t="s">
        <v>395</v>
      </c>
      <c r="I5" s="623" t="s">
        <v>408</v>
      </c>
      <c r="J5" s="623" t="s">
        <v>409</v>
      </c>
      <c r="K5" s="624" t="s">
        <v>400</v>
      </c>
    </row>
    <row r="6" spans="1:11" ht="24" customHeight="1" thickBot="1" x14ac:dyDescent="0.3">
      <c r="A6" s="121"/>
      <c r="B6" s="412" t="s">
        <v>147</v>
      </c>
      <c r="C6" s="413"/>
      <c r="D6" s="355">
        <f t="shared" ref="D6:K6" si="0">D8+D22+D36+D46+D52+D68+D76+D91+D95+D120+D131+D140+D152+D178+D179</f>
        <v>37876940</v>
      </c>
      <c r="E6" s="567">
        <f t="shared" si="0"/>
        <v>27772955</v>
      </c>
      <c r="F6" s="567">
        <f t="shared" si="0"/>
        <v>4756040</v>
      </c>
      <c r="G6" s="411">
        <f t="shared" si="0"/>
        <v>5347945</v>
      </c>
      <c r="H6" s="625">
        <f t="shared" si="0"/>
        <v>16967585.68</v>
      </c>
      <c r="I6" s="626">
        <f t="shared" si="0"/>
        <v>13597413.909999998</v>
      </c>
      <c r="J6" s="626">
        <f t="shared" si="0"/>
        <v>1460530.19</v>
      </c>
      <c r="K6" s="627">
        <f t="shared" si="0"/>
        <v>1909641.5799999998</v>
      </c>
    </row>
    <row r="7" spans="1:11" ht="13.5" thickBot="1" x14ac:dyDescent="0.25">
      <c r="A7" s="121"/>
      <c r="B7" s="253" t="s">
        <v>148</v>
      </c>
      <c r="C7" s="254"/>
      <c r="D7" s="379"/>
      <c r="E7" s="249"/>
      <c r="F7" s="249"/>
      <c r="G7" s="380"/>
      <c r="H7" s="628"/>
      <c r="I7" s="629"/>
      <c r="J7" s="629"/>
      <c r="K7" s="630"/>
    </row>
    <row r="8" spans="1:11" ht="15.75" x14ac:dyDescent="0.25">
      <c r="A8" s="121"/>
      <c r="B8" s="267" t="s">
        <v>149</v>
      </c>
      <c r="C8" s="268"/>
      <c r="D8" s="263">
        <f t="shared" ref="D8:K8" si="1">D9+D14+D18+D19+D20+D21</f>
        <v>568180</v>
      </c>
      <c r="E8" s="264">
        <f t="shared" si="1"/>
        <v>420500</v>
      </c>
      <c r="F8" s="264">
        <f t="shared" si="1"/>
        <v>147680</v>
      </c>
      <c r="G8" s="351">
        <f t="shared" si="1"/>
        <v>0</v>
      </c>
      <c r="H8" s="631">
        <f t="shared" si="1"/>
        <v>209763.18999999997</v>
      </c>
      <c r="I8" s="632">
        <f t="shared" si="1"/>
        <v>208909.74999999997</v>
      </c>
      <c r="J8" s="632">
        <f t="shared" si="1"/>
        <v>853.44</v>
      </c>
      <c r="K8" s="633">
        <f t="shared" si="1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275050</v>
      </c>
      <c r="E9" s="257">
        <f t="shared" ref="E9:G9" si="2">SUM(E10:E13)</f>
        <v>275050</v>
      </c>
      <c r="F9" s="257">
        <f t="shared" si="2"/>
        <v>0</v>
      </c>
      <c r="G9" s="352">
        <f t="shared" si="2"/>
        <v>0</v>
      </c>
      <c r="H9" s="634">
        <f>SUM(H10:H13)</f>
        <v>139058.90999999997</v>
      </c>
      <c r="I9" s="635">
        <f t="shared" ref="I9:K9" si="3">SUM(I10:I13)</f>
        <v>139058.90999999997</v>
      </c>
      <c r="J9" s="635">
        <f t="shared" si="3"/>
        <v>0</v>
      </c>
      <c r="K9" s="636">
        <f t="shared" si="3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117300</v>
      </c>
      <c r="E10" s="257">
        <f>'[1]1.Plánovanie, manažment a kontr'!$AC$5</f>
        <v>117300</v>
      </c>
      <c r="F10" s="257">
        <f>'[1]1.Plánovanie, manažment a kontr'!$AD$5</f>
        <v>0</v>
      </c>
      <c r="G10" s="352">
        <f>'[1]1.Plánovanie, manažment a kontr'!$AE$5</f>
        <v>0</v>
      </c>
      <c r="H10" s="634">
        <f>SUM(I10:K10)</f>
        <v>59339.189999999995</v>
      </c>
      <c r="I10" s="635">
        <f>'[1]1.Plánovanie, manažment a kontr'!$AF$5</f>
        <v>59339.189999999995</v>
      </c>
      <c r="J10" s="635">
        <f>'[1]1.Plánovanie, manažment a kontr'!$AG$5</f>
        <v>0</v>
      </c>
      <c r="K10" s="636">
        <f>'[1]1.Plánovanie, manažment a kontr'!$AH$5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53450</v>
      </c>
      <c r="E11" s="257">
        <f>'[1]1.Plánovanie, manažment a kontr'!$AC$17</f>
        <v>53450</v>
      </c>
      <c r="F11" s="257">
        <f>'[1]1.Plánovanie, manažment a kontr'!$AD$17</f>
        <v>0</v>
      </c>
      <c r="G11" s="352">
        <f>'[1]1.Plánovanie, manažment a kontr'!$AE$17</f>
        <v>0</v>
      </c>
      <c r="H11" s="634">
        <f>SUM(I11:K11)</f>
        <v>24879.94</v>
      </c>
      <c r="I11" s="635">
        <f>'[1]1.Plánovanie, manažment a kontr'!$AF$17</f>
        <v>24879.94</v>
      </c>
      <c r="J11" s="635">
        <f>'[1]1.Plánovanie, manažment a kontr'!$AG$17</f>
        <v>0</v>
      </c>
      <c r="K11" s="636">
        <f>'[1]1.Plánovanie, manažment a kontr'!$AH$17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104300</v>
      </c>
      <c r="E12" s="257">
        <f>'[1]1.Plánovanie, manažment a kontr'!$AC$28</f>
        <v>104300</v>
      </c>
      <c r="F12" s="257">
        <f>'[1]1.Plánovanie, manažment a kontr'!$AD$28</f>
        <v>0</v>
      </c>
      <c r="G12" s="352">
        <f>'[1]1.Plánovanie, manažment a kontr'!$AE$28</f>
        <v>0</v>
      </c>
      <c r="H12" s="634">
        <f>SUM(I12:K12)</f>
        <v>54839.78</v>
      </c>
      <c r="I12" s="635">
        <f>'[1]1.Plánovanie, manažment a kontr'!$AF$28</f>
        <v>54839.78</v>
      </c>
      <c r="J12" s="635">
        <f>'[1]1.Plánovanie, manažment a kontr'!$AG$28</f>
        <v>0</v>
      </c>
      <c r="K12" s="636">
        <f>'[1]1.Plánovanie, manažment a kontr'!$AH$28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kontr'!$AC$33</f>
        <v>0</v>
      </c>
      <c r="F13" s="257">
        <f>'[1]1.Plánovanie, manažment a kontr'!$AD$33</f>
        <v>0</v>
      </c>
      <c r="G13" s="352">
        <f>'[1]1.Plánovanie, manažment a kontr'!$AE$33</f>
        <v>0</v>
      </c>
      <c r="H13" s="634">
        <f>SUM(I13:K13)</f>
        <v>0</v>
      </c>
      <c r="I13" s="635">
        <f>'[1]1.Plánovanie, manažment a kontr'!$AF$33</f>
        <v>0</v>
      </c>
      <c r="J13" s="635">
        <f>'[1]1.Plánovanie, manažment a kontr'!$AG$33</f>
        <v>0</v>
      </c>
      <c r="K13" s="636">
        <f>'[1]1.Plánovanie, manažment a kontr'!$AH$33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170230</v>
      </c>
      <c r="E14" s="257">
        <f t="shared" ref="E14:G14" si="4">SUM(E15:E17)</f>
        <v>22550</v>
      </c>
      <c r="F14" s="257">
        <f t="shared" si="4"/>
        <v>147680</v>
      </c>
      <c r="G14" s="352">
        <f t="shared" si="4"/>
        <v>0</v>
      </c>
      <c r="H14" s="634">
        <f>SUM(H15:H17)</f>
        <v>13182.740000000002</v>
      </c>
      <c r="I14" s="635">
        <f t="shared" ref="I14:K14" si="5">SUM(I15:I17)</f>
        <v>12329.300000000001</v>
      </c>
      <c r="J14" s="635">
        <f t="shared" si="5"/>
        <v>853.44</v>
      </c>
      <c r="K14" s="636">
        <f t="shared" si="5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17350</v>
      </c>
      <c r="E15" s="257">
        <f>'[1]1.Plánovanie, manažment a kontr'!$AC$41</f>
        <v>17350</v>
      </c>
      <c r="F15" s="257">
        <f>'[1]1.Plánovanie, manažment a kontr'!$AD$41</f>
        <v>0</v>
      </c>
      <c r="G15" s="352">
        <f>'[1]1.Plánovanie, manažment a kontr'!$AE$41</f>
        <v>0</v>
      </c>
      <c r="H15" s="634">
        <f>SUM(I15:K15)</f>
        <v>11097.720000000001</v>
      </c>
      <c r="I15" s="635">
        <f>'[1]1.Plánovanie, manažment a kontr'!$AF$41</f>
        <v>11097.720000000001</v>
      </c>
      <c r="J15" s="635">
        <f>'[1]1.Plánovanie, manažment a kontr'!$AG$41</f>
        <v>0</v>
      </c>
      <c r="K15" s="636">
        <f>'[1]1.Plánovanie, manažment a kontr'!$AH$41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6">SUM(E16:G16)</f>
        <v>1000</v>
      </c>
      <c r="E16" s="257">
        <f>'[1]1.Plánovanie, manažment a kontr'!$AC$58</f>
        <v>1000</v>
      </c>
      <c r="F16" s="257">
        <f>'[1]1.Plánovanie, manažment a kontr'!$AD$58</f>
        <v>0</v>
      </c>
      <c r="G16" s="352">
        <f>'[1]1.Plánovanie, manažment a kontr'!$AE$58</f>
        <v>0</v>
      </c>
      <c r="H16" s="634">
        <f t="shared" ref="H16:H21" si="7">SUM(I16:K16)</f>
        <v>0</v>
      </c>
      <c r="I16" s="635">
        <f>'[1]1.Plánovanie, manažment a kontr'!$AF$58</f>
        <v>0</v>
      </c>
      <c r="J16" s="635">
        <f>'[1]1.Plánovanie, manažment a kontr'!$AG$58</f>
        <v>0</v>
      </c>
      <c r="K16" s="636">
        <f>'[1]1.Plánovanie, manažment a kontr'!$AH$58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6"/>
        <v>151880</v>
      </c>
      <c r="E17" s="257">
        <f>'[1]1.Plánovanie, manažment a kontr'!$AC$62</f>
        <v>4200</v>
      </c>
      <c r="F17" s="257">
        <f>'[1]1.Plánovanie, manažment a kontr'!$AD$62</f>
        <v>147680</v>
      </c>
      <c r="G17" s="352">
        <f>'[1]1.Plánovanie, manažment a kontr'!$AE$62</f>
        <v>0</v>
      </c>
      <c r="H17" s="634">
        <f t="shared" si="7"/>
        <v>2085.02</v>
      </c>
      <c r="I17" s="635">
        <f>'[1]1.Plánovanie, manažment a kontr'!$AF$62</f>
        <v>1231.58</v>
      </c>
      <c r="J17" s="635">
        <f>'[1]1.Plánovanie, manažment a kontr'!$AG$62</f>
        <v>853.44</v>
      </c>
      <c r="K17" s="636">
        <f>'[1]1.Plánovanie, manažment a kontr'!$AH$62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6"/>
        <v>102000</v>
      </c>
      <c r="E18" s="257">
        <f>'[1]1.Plánovanie, manažment a kontr'!$AC$79</f>
        <v>102000</v>
      </c>
      <c r="F18" s="257">
        <f>'[1]1.Plánovanie, manažment a kontr'!$AD$79</f>
        <v>0</v>
      </c>
      <c r="G18" s="352">
        <f>'[1]1.Plánovanie, manažment a kontr'!$AE$79</f>
        <v>0</v>
      </c>
      <c r="H18" s="634">
        <f t="shared" si="7"/>
        <v>41412.159999999996</v>
      </c>
      <c r="I18" s="635">
        <f>'[1]1.Plánovanie, manažment a kontr'!$AF$79</f>
        <v>41412.159999999996</v>
      </c>
      <c r="J18" s="635">
        <f>'[1]1.Plánovanie, manažment a kontr'!$AG$79</f>
        <v>0</v>
      </c>
      <c r="K18" s="636">
        <f>'[1]1.Plánovanie, manažment a kontr'!$AH$79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6"/>
        <v>8000</v>
      </c>
      <c r="E19" s="257">
        <f>'[1]1.Plánovanie, manažment a kontr'!$AC$88</f>
        <v>8000</v>
      </c>
      <c r="F19" s="257">
        <f>'[1]1.Plánovanie, manažment a kontr'!$AD$88</f>
        <v>0</v>
      </c>
      <c r="G19" s="352">
        <f>'[1]1.Plánovanie, manažment a kontr'!$AE$88</f>
        <v>0</v>
      </c>
      <c r="H19" s="634">
        <f t="shared" si="7"/>
        <v>4992</v>
      </c>
      <c r="I19" s="635">
        <f>'[1]1.Plánovanie, manažment a kontr'!$AF$88</f>
        <v>4992</v>
      </c>
      <c r="J19" s="635">
        <f>'[1]1.Plánovanie, manažment a kontr'!$AG$88</f>
        <v>0</v>
      </c>
      <c r="K19" s="636">
        <f>'[1]1.Plánovanie, manažment a kontr'!$AH$88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6"/>
        <v>12900</v>
      </c>
      <c r="E20" s="257">
        <f>'[1]1.Plánovanie, manažment a kontr'!$AC$92</f>
        <v>12900</v>
      </c>
      <c r="F20" s="257">
        <f>'[1]1.Plánovanie, manažment a kontr'!$AD$92</f>
        <v>0</v>
      </c>
      <c r="G20" s="352">
        <f>'[1]1.Plánovanie, manažment a kontr'!$AE$92</f>
        <v>0</v>
      </c>
      <c r="H20" s="634">
        <f t="shared" si="7"/>
        <v>11117.380000000001</v>
      </c>
      <c r="I20" s="635">
        <f>'[1]1.Plánovanie, manažment a kontr'!$AF$92</f>
        <v>11117.380000000001</v>
      </c>
      <c r="J20" s="635">
        <f>'[1]1.Plánovanie, manažment a kontr'!$AG$92</f>
        <v>0</v>
      </c>
      <c r="K20" s="636">
        <f>'[1]1.Plánovanie, manažment a kontr'!$AH$92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6"/>
        <v>0</v>
      </c>
      <c r="E21" s="266">
        <f>'[1]1.Plánovanie, manažment a kontr'!$AC$95</f>
        <v>0</v>
      </c>
      <c r="F21" s="266">
        <f>'[1]1.Plánovanie, manažment a kontr'!$AD$95</f>
        <v>0</v>
      </c>
      <c r="G21" s="572">
        <f>'[1]1.Plánovanie, manažment a kontr'!$AE$95</f>
        <v>0</v>
      </c>
      <c r="H21" s="637">
        <f t="shared" si="7"/>
        <v>0</v>
      </c>
      <c r="I21" s="638">
        <f>'[1]1.Plánovanie, manažment a kontr'!$AF$95</f>
        <v>0</v>
      </c>
      <c r="J21" s="638">
        <f>'[1]1.Plánovanie, manažment a kontr'!$AG$95</f>
        <v>0</v>
      </c>
      <c r="K21" s="639">
        <f>'[1]1.Plánovanie, manažment a kontr'!$AH$95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K22" si="8">D23+D32+D35</f>
        <v>44100</v>
      </c>
      <c r="E22" s="264">
        <f t="shared" si="8"/>
        <v>44100</v>
      </c>
      <c r="F22" s="264">
        <f t="shared" si="8"/>
        <v>0</v>
      </c>
      <c r="G22" s="351">
        <f t="shared" si="8"/>
        <v>0</v>
      </c>
      <c r="H22" s="631">
        <f t="shared" si="8"/>
        <v>13558.099999999999</v>
      </c>
      <c r="I22" s="632">
        <f t="shared" si="8"/>
        <v>13558.099999999999</v>
      </c>
      <c r="J22" s="632">
        <f>J23+J32+J35</f>
        <v>0</v>
      </c>
      <c r="K22" s="633">
        <f t="shared" si="8"/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K23" si="9">SUM(D24:D31)</f>
        <v>19900</v>
      </c>
      <c r="E23" s="257">
        <f t="shared" si="9"/>
        <v>19900</v>
      </c>
      <c r="F23" s="257">
        <f t="shared" si="9"/>
        <v>0</v>
      </c>
      <c r="G23" s="352">
        <f t="shared" si="9"/>
        <v>0</v>
      </c>
      <c r="H23" s="634">
        <f t="shared" si="9"/>
        <v>7274.04</v>
      </c>
      <c r="I23" s="635">
        <f t="shared" si="9"/>
        <v>7274.04</v>
      </c>
      <c r="J23" s="635">
        <f t="shared" si="9"/>
        <v>0</v>
      </c>
      <c r="K23" s="636">
        <f t="shared" si="9"/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350</v>
      </c>
      <c r="E24" s="257">
        <f>'[1]2. Propagácia a marketing'!$AC$5</f>
        <v>350</v>
      </c>
      <c r="F24" s="257">
        <f>'[1]2. Propagácia a marketing'!$AD$5</f>
        <v>0</v>
      </c>
      <c r="G24" s="352">
        <f>'[1]2. Propagácia a marketing'!$AE$5</f>
        <v>0</v>
      </c>
      <c r="H24" s="634">
        <f>SUM(I24:K24)</f>
        <v>16.2</v>
      </c>
      <c r="I24" s="635">
        <f>'[1]2. Propagácia a marketing'!$AF$5</f>
        <v>16.2</v>
      </c>
      <c r="J24" s="635">
        <f>'[1]2. Propagácia a marketing'!$AG$5</f>
        <v>0</v>
      </c>
      <c r="K24" s="636">
        <f>'[1]2. Propagácia a marketing'!$AH$5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0">SUM(E25:G25)</f>
        <v>5500</v>
      </c>
      <c r="E25" s="257">
        <f>'[1]2. Propagácia a marketing'!$AC$7</f>
        <v>5500</v>
      </c>
      <c r="F25" s="257">
        <f>'[1]2. Propagácia a marketing'!$AD$7</f>
        <v>0</v>
      </c>
      <c r="G25" s="352">
        <f>'[1]2. Propagácia a marketing'!$AE$7</f>
        <v>0</v>
      </c>
      <c r="H25" s="634">
        <f t="shared" ref="H25:H31" si="11">SUM(I25:K25)</f>
        <v>895.15</v>
      </c>
      <c r="I25" s="635">
        <f>'[1]2. Propagácia a marketing'!$AF$7</f>
        <v>895.15</v>
      </c>
      <c r="J25" s="635">
        <f>'[1]2. Propagácia a marketing'!$AG$7</f>
        <v>0</v>
      </c>
      <c r="K25" s="636">
        <f>'[1]2. Propagácia a marketing'!$AH$7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0"/>
        <v>8050</v>
      </c>
      <c r="E26" s="257">
        <f>'[1]2. Propagácia a marketing'!$AC$12</f>
        <v>8050</v>
      </c>
      <c r="F26" s="257">
        <f>'[1]2. Propagácia a marketing'!$AD$12</f>
        <v>0</v>
      </c>
      <c r="G26" s="352">
        <f>'[1]2. Propagácia a marketing'!$AE$12</f>
        <v>0</v>
      </c>
      <c r="H26" s="634">
        <f t="shared" si="11"/>
        <v>5937.69</v>
      </c>
      <c r="I26" s="635">
        <f>'[1]2. Propagácia a marketing'!$AF$12</f>
        <v>5937.69</v>
      </c>
      <c r="J26" s="635">
        <f>'[1]2. Propagácia a marketing'!$AG$12</f>
        <v>0</v>
      </c>
      <c r="K26" s="636">
        <f>'[1]2. Propagácia a marketing'!$AH$12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0"/>
        <v>0</v>
      </c>
      <c r="E27" s="257">
        <f>'[1]2. Propagácia a marketing'!$AC$20</f>
        <v>0</v>
      </c>
      <c r="F27" s="257">
        <f>'[1]2. Propagácia a marketing'!$AD$20</f>
        <v>0</v>
      </c>
      <c r="G27" s="352">
        <f>'[1]2. Propagácia a marketing'!$AE$20</f>
        <v>0</v>
      </c>
      <c r="H27" s="634">
        <f t="shared" si="11"/>
        <v>0</v>
      </c>
      <c r="I27" s="635">
        <f>'[1]2. Propagácia a marketing'!$AF$20</f>
        <v>0</v>
      </c>
      <c r="J27" s="635">
        <f>'[1]2. Propagácia a marketing'!$AG$20</f>
        <v>0</v>
      </c>
      <c r="K27" s="636">
        <f>'[1]2. Propagácia a marketing'!$AH$20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0"/>
        <v>0</v>
      </c>
      <c r="E28" s="257">
        <f>'[1]2. Propagácia a marketing'!$AC$22</f>
        <v>0</v>
      </c>
      <c r="F28" s="257">
        <f>'[1]2. Propagácia a marketing'!$AD$22</f>
        <v>0</v>
      </c>
      <c r="G28" s="352">
        <f>'[1]2. Propagácia a marketing'!$AE$22</f>
        <v>0</v>
      </c>
      <c r="H28" s="634">
        <f t="shared" si="11"/>
        <v>0</v>
      </c>
      <c r="I28" s="635">
        <f>'[1]2. Propagácia a marketing'!$AF$22</f>
        <v>0</v>
      </c>
      <c r="J28" s="635">
        <f>'[1]2. Propagácia a marketing'!$AG$22</f>
        <v>0</v>
      </c>
      <c r="K28" s="636">
        <f>'[1]2. Propagácia a marketing'!$AH$22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0"/>
        <v>0</v>
      </c>
      <c r="E29" s="257">
        <f>'[1]2. Propagácia a marketing'!$AC$25</f>
        <v>0</v>
      </c>
      <c r="F29" s="257">
        <f>'[1]2. Propagácia a marketing'!$AD$25</f>
        <v>0</v>
      </c>
      <c r="G29" s="352">
        <f>'[1]2. Propagácia a marketing'!$AE$25</f>
        <v>0</v>
      </c>
      <c r="H29" s="634">
        <f t="shared" si="11"/>
        <v>0</v>
      </c>
      <c r="I29" s="635">
        <f>'[1]2. Propagácia a marketing'!$AF$25</f>
        <v>0</v>
      </c>
      <c r="J29" s="635">
        <f>'[1]2. Propagácia a marketing'!$AG$25</f>
        <v>0</v>
      </c>
      <c r="K29" s="636">
        <f>'[1]2. Propagácia a marketing'!$AH$25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0"/>
        <v>2000</v>
      </c>
      <c r="E30" s="257">
        <f>'[1]2. Propagácia a marketing'!$AC$27</f>
        <v>2000</v>
      </c>
      <c r="F30" s="257">
        <f>'[1]2. Propagácia a marketing'!$AD$27</f>
        <v>0</v>
      </c>
      <c r="G30" s="352">
        <f>'[1]2. Propagácia a marketing'!$AE$27</f>
        <v>0</v>
      </c>
      <c r="H30" s="634">
        <f t="shared" si="11"/>
        <v>425</v>
      </c>
      <c r="I30" s="635">
        <f>'[1]2. Propagácia a marketing'!$AF$27</f>
        <v>425</v>
      </c>
      <c r="J30" s="635">
        <f>'[1]2. Propagácia a marketing'!$AG$27</f>
        <v>0</v>
      </c>
      <c r="K30" s="636">
        <f>'[1]2. Propagácia a marketing'!$AH$27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0"/>
        <v>4000</v>
      </c>
      <c r="E31" s="257">
        <f>'[1]2. Propagácia a marketing'!$AC$29</f>
        <v>4000</v>
      </c>
      <c r="F31" s="257">
        <f>'[1]2. Propagácia a marketing'!$AD$29</f>
        <v>0</v>
      </c>
      <c r="G31" s="352">
        <f>'[1]2. Propagácia a marketing'!$AE$29</f>
        <v>0</v>
      </c>
      <c r="H31" s="634">
        <f t="shared" si="11"/>
        <v>0</v>
      </c>
      <c r="I31" s="635">
        <f>'[1]2. Propagácia a marketing'!$AF$29</f>
        <v>0</v>
      </c>
      <c r="J31" s="635">
        <f>'[1]2. Propagácia a marketing'!$AG$29</f>
        <v>0</v>
      </c>
      <c r="K31" s="636">
        <f>'[1]2. Propagácia a marketing'!$AH$29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K32" si="12">SUM(D33:D34)</f>
        <v>16500</v>
      </c>
      <c r="E32" s="257">
        <f t="shared" si="12"/>
        <v>16500</v>
      </c>
      <c r="F32" s="257">
        <f t="shared" si="12"/>
        <v>0</v>
      </c>
      <c r="G32" s="352">
        <f t="shared" si="12"/>
        <v>0</v>
      </c>
      <c r="H32" s="634">
        <f t="shared" si="12"/>
        <v>5461.7599999999993</v>
      </c>
      <c r="I32" s="635">
        <f t="shared" si="12"/>
        <v>5461.7599999999993</v>
      </c>
      <c r="J32" s="635">
        <f t="shared" si="12"/>
        <v>0</v>
      </c>
      <c r="K32" s="636">
        <f t="shared" si="12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15000</v>
      </c>
      <c r="E33" s="257">
        <f>'[1]2. Propagácia a marketing'!$AC$32</f>
        <v>15000</v>
      </c>
      <c r="F33" s="257">
        <f>'[1]2. Propagácia a marketing'!$AD$32</f>
        <v>0</v>
      </c>
      <c r="G33" s="352">
        <f>'[1]2. Propagácia a marketing'!$AE$32</f>
        <v>0</v>
      </c>
      <c r="H33" s="634">
        <f>SUM(I33:K33)</f>
        <v>5461.7599999999993</v>
      </c>
      <c r="I33" s="635">
        <f>'[1]2. Propagácia a marketing'!$AF$32</f>
        <v>5461.7599999999993</v>
      </c>
      <c r="J33" s="635">
        <f>'[1]2. Propagácia a marketing'!$AG$32</f>
        <v>0</v>
      </c>
      <c r="K33" s="636">
        <f>'[1]2. Propagácia a marketing'!$AH$32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marketing'!$AC$46</f>
        <v>1500</v>
      </c>
      <c r="F34" s="257">
        <f>'[1]2. Propagácia a marketing'!$AD$46</f>
        <v>0</v>
      </c>
      <c r="G34" s="352">
        <f>'[1]2. Propagácia a marketing'!$AE$46</f>
        <v>0</v>
      </c>
      <c r="H34" s="634">
        <f>SUM(I34:K34)</f>
        <v>0</v>
      </c>
      <c r="I34" s="635">
        <f>'[1]2. Propagácia a marketing'!$AF$46</f>
        <v>0</v>
      </c>
      <c r="J34" s="635">
        <f>'[1]2. Propagácia a marketing'!$AG$46</f>
        <v>0</v>
      </c>
      <c r="K34" s="636">
        <f>'[1]2. Propagácia a marketing'!$AH$46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7700</v>
      </c>
      <c r="E35" s="266">
        <f>'[1]2. Propagácia a marketing'!$AC$51</f>
        <v>7700</v>
      </c>
      <c r="F35" s="266">
        <f>'[1]2. Propagácia a marketing'!$AD$51</f>
        <v>0</v>
      </c>
      <c r="G35" s="572">
        <f>'[1]2. Propagácia a marketing'!$AE$51</f>
        <v>0</v>
      </c>
      <c r="H35" s="637">
        <f>SUM(I35:K35)</f>
        <v>822.3</v>
      </c>
      <c r="I35" s="638">
        <f>'[1]2. Propagácia a marketing'!$AF$51</f>
        <v>822.3</v>
      </c>
      <c r="J35" s="638">
        <f>'[1]2. Propagácia a marketing'!$AG$51</f>
        <v>0</v>
      </c>
      <c r="K35" s="639">
        <f>'[1]2. Propagácia a marketing'!$AH$51</f>
        <v>0</v>
      </c>
    </row>
    <row r="36" spans="1:11" s="123" customFormat="1" ht="15.75" x14ac:dyDescent="0.25">
      <c r="A36" s="111"/>
      <c r="B36" s="273" t="s">
        <v>186</v>
      </c>
      <c r="C36" s="410"/>
      <c r="D36" s="263">
        <f t="shared" ref="D36:K36" si="13">D37+D38+D39+D44+D45</f>
        <v>569020</v>
      </c>
      <c r="E36" s="264">
        <f t="shared" si="13"/>
        <v>558870</v>
      </c>
      <c r="F36" s="264">
        <f t="shared" si="13"/>
        <v>10150</v>
      </c>
      <c r="G36" s="351">
        <f t="shared" si="13"/>
        <v>0</v>
      </c>
      <c r="H36" s="631">
        <f t="shared" si="13"/>
        <v>256068.17000000004</v>
      </c>
      <c r="I36" s="632">
        <f t="shared" si="13"/>
        <v>256068.17000000004</v>
      </c>
      <c r="J36" s="632">
        <f t="shared" si="13"/>
        <v>0</v>
      </c>
      <c r="K36" s="633">
        <f t="shared" si="13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83000</v>
      </c>
      <c r="E37" s="257">
        <f>'[1]3.Interné služby'!$AC$4</f>
        <v>83000</v>
      </c>
      <c r="F37" s="257">
        <f>'[1]3.Interné služby'!$AD$4</f>
        <v>0</v>
      </c>
      <c r="G37" s="352">
        <f>'[1]3.Interné služby'!$AE$4</f>
        <v>0</v>
      </c>
      <c r="H37" s="634">
        <f>SUM(I37:K37)</f>
        <v>45296.69</v>
      </c>
      <c r="I37" s="635">
        <f>'[1]3.Interné služby'!$AF$4</f>
        <v>45296.69</v>
      </c>
      <c r="J37" s="635">
        <f>'[1]3.Interné služby'!$AG$4</f>
        <v>0</v>
      </c>
      <c r="K37" s="636">
        <f>'[1]3.Interné služby'!$AH$4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209300</v>
      </c>
      <c r="E38" s="257">
        <f>'[1]3.Interné služby'!$AC$23</f>
        <v>209300</v>
      </c>
      <c r="F38" s="257">
        <f>'[1]3.Interné služby'!$AD$23</f>
        <v>0</v>
      </c>
      <c r="G38" s="352">
        <f>'[1]3.Interné služby'!$AE$23</f>
        <v>0</v>
      </c>
      <c r="H38" s="634">
        <f>SUM(I38:K38)</f>
        <v>95425.5</v>
      </c>
      <c r="I38" s="635">
        <f>'[1]3.Interné služby'!$AF$23</f>
        <v>95425.5</v>
      </c>
      <c r="J38" s="635">
        <f>'[1]3.Interné služby'!$AG$23</f>
        <v>0</v>
      </c>
      <c r="K38" s="636">
        <f>'[1]3.Interné služby'!$AH$23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K39" si="14">SUM(D40:D43)</f>
        <v>268170</v>
      </c>
      <c r="E39" s="257">
        <f t="shared" si="14"/>
        <v>258020</v>
      </c>
      <c r="F39" s="257">
        <f t="shared" si="14"/>
        <v>10150</v>
      </c>
      <c r="G39" s="352">
        <f t="shared" si="14"/>
        <v>0</v>
      </c>
      <c r="H39" s="634">
        <f t="shared" si="14"/>
        <v>112482.03000000003</v>
      </c>
      <c r="I39" s="635">
        <f t="shared" si="14"/>
        <v>112482.03000000003</v>
      </c>
      <c r="J39" s="635">
        <f t="shared" si="14"/>
        <v>0</v>
      </c>
      <c r="K39" s="636">
        <f t="shared" si="14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15">SUM(E40:G40)</f>
        <v>2150</v>
      </c>
      <c r="E40" s="257">
        <f>'[1]3.Interné služby'!$AC$29</f>
        <v>2150</v>
      </c>
      <c r="F40" s="257">
        <f>'[1]3.Interné služby'!$AD$29</f>
        <v>0</v>
      </c>
      <c r="G40" s="352">
        <f>'[1]3.Interné služby'!$AE$29</f>
        <v>0</v>
      </c>
      <c r="H40" s="634">
        <f t="shared" ref="H40:H45" si="16">SUM(I40:K40)</f>
        <v>2013.3</v>
      </c>
      <c r="I40" s="635">
        <f>'[1]3.Interné služby'!$AF$29</f>
        <v>2013.3</v>
      </c>
      <c r="J40" s="635">
        <f>'[1]3.Interné služby'!$AG$29</f>
        <v>0</v>
      </c>
      <c r="K40" s="636">
        <f>'[1]3.Interné služby'!$AH$29</f>
        <v>0</v>
      </c>
    </row>
    <row r="41" spans="1:11" ht="15.75" x14ac:dyDescent="0.25">
      <c r="B41" s="269">
        <v>2</v>
      </c>
      <c r="C41" s="270" t="s">
        <v>194</v>
      </c>
      <c r="D41" s="258">
        <f t="shared" si="15"/>
        <v>15700</v>
      </c>
      <c r="E41" s="257">
        <f>'[1]3.Interné služby'!$AC$34</f>
        <v>15700</v>
      </c>
      <c r="F41" s="257">
        <f>'[1]3.Interné služby'!$AD$34</f>
        <v>0</v>
      </c>
      <c r="G41" s="352">
        <f>'[1]3.Interné služby'!$AE$34</f>
        <v>0</v>
      </c>
      <c r="H41" s="634">
        <f t="shared" si="16"/>
        <v>10432.469999999999</v>
      </c>
      <c r="I41" s="635">
        <f>'[1]3.Interné služby'!$AF$34</f>
        <v>10432.469999999999</v>
      </c>
      <c r="J41" s="635">
        <f>'[1]3.Interné služby'!$AG$34</f>
        <v>0</v>
      </c>
      <c r="K41" s="636">
        <f>'[1]3.Interné služby'!$AH$34</f>
        <v>0</v>
      </c>
    </row>
    <row r="42" spans="1:11" ht="15.75" x14ac:dyDescent="0.25">
      <c r="B42" s="269">
        <v>3</v>
      </c>
      <c r="C42" s="270" t="s">
        <v>195</v>
      </c>
      <c r="D42" s="258">
        <f t="shared" si="15"/>
        <v>238170</v>
      </c>
      <c r="E42" s="257">
        <f>'[1]3.Interné služby'!$AC$37</f>
        <v>238170</v>
      </c>
      <c r="F42" s="257">
        <f>'[1]3.Interné služby'!$AD$37</f>
        <v>0</v>
      </c>
      <c r="G42" s="352">
        <f>'[1]3.Interné služby'!$AE$37</f>
        <v>0</v>
      </c>
      <c r="H42" s="634">
        <f t="shared" si="16"/>
        <v>99649.260000000024</v>
      </c>
      <c r="I42" s="635">
        <f>'[1]3.Interné služby'!$AF$37</f>
        <v>99649.260000000024</v>
      </c>
      <c r="J42" s="635">
        <f>'[1]3.Interné služby'!$AG$37</f>
        <v>0</v>
      </c>
      <c r="K42" s="636">
        <f>'[1]3.Interné služby'!$AH$37</f>
        <v>0</v>
      </c>
    </row>
    <row r="43" spans="1:11" ht="15.75" x14ac:dyDescent="0.25">
      <c r="B43" s="269">
        <v>4</v>
      </c>
      <c r="C43" s="270" t="s">
        <v>196</v>
      </c>
      <c r="D43" s="258">
        <f t="shared" si="15"/>
        <v>12150</v>
      </c>
      <c r="E43" s="257">
        <f>'[1]3.Interné služby'!$AC$95</f>
        <v>2000</v>
      </c>
      <c r="F43" s="257">
        <f>'[1]3.Interné služby'!$AD$95</f>
        <v>10150</v>
      </c>
      <c r="G43" s="352">
        <f>'[1]3.Interné služby'!$AE$95</f>
        <v>0</v>
      </c>
      <c r="H43" s="634">
        <f t="shared" si="16"/>
        <v>387</v>
      </c>
      <c r="I43" s="635">
        <f>'[1]3.Interné služby'!$AF$95</f>
        <v>387</v>
      </c>
      <c r="J43" s="635">
        <f>'[1]3.Interné služby'!$AG$95</f>
        <v>0</v>
      </c>
      <c r="K43" s="636">
        <f>'[1]3.Interné služby'!$AH$95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15"/>
        <v>8000</v>
      </c>
      <c r="E44" s="257">
        <f>'[1]3.Interné služby'!$AC$100</f>
        <v>8000</v>
      </c>
      <c r="F44" s="257">
        <f>'[1]3.Interné služby'!$AD$100</f>
        <v>0</v>
      </c>
      <c r="G44" s="352">
        <f>'[1]3.Interné služby'!$AE$100</f>
        <v>0</v>
      </c>
      <c r="H44" s="634">
        <f t="shared" si="16"/>
        <v>2863.95</v>
      </c>
      <c r="I44" s="635">
        <f>'[1]3.Interné služby'!$AF$100</f>
        <v>2863.95</v>
      </c>
      <c r="J44" s="635">
        <f>'[1]3.Interné služby'!$AG$100</f>
        <v>0</v>
      </c>
      <c r="K44" s="636">
        <f>'[1]3.Interné služby'!$AH$100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15"/>
        <v>550</v>
      </c>
      <c r="E45" s="266">
        <f>'[1]3.Interné služby'!$AC$106</f>
        <v>550</v>
      </c>
      <c r="F45" s="266">
        <f>'[1]3.Interné služby'!$AD$106</f>
        <v>0</v>
      </c>
      <c r="G45" s="572">
        <f>'[1]3.Interné služby'!$AE$106</f>
        <v>0</v>
      </c>
      <c r="H45" s="637">
        <f t="shared" si="16"/>
        <v>0</v>
      </c>
      <c r="I45" s="638">
        <f>'[1]3.Interné služby'!$AF$106</f>
        <v>0</v>
      </c>
      <c r="J45" s="638">
        <f>'[1]3.Interné služby'!$AG$106</f>
        <v>0</v>
      </c>
      <c r="K45" s="639">
        <f>'[1]3.Interné služby'!$AH$106</f>
        <v>0</v>
      </c>
    </row>
    <row r="46" spans="1:11" s="123" customFormat="1" ht="15.75" x14ac:dyDescent="0.25">
      <c r="B46" s="277" t="s">
        <v>201</v>
      </c>
      <c r="C46" s="278"/>
      <c r="D46" s="263">
        <f t="shared" ref="D46:K46" si="17">D47+D48+D51</f>
        <v>62750</v>
      </c>
      <c r="E46" s="264">
        <f t="shared" si="17"/>
        <v>62750</v>
      </c>
      <c r="F46" s="264">
        <f>F47+F48+F51</f>
        <v>0</v>
      </c>
      <c r="G46" s="351">
        <f t="shared" si="17"/>
        <v>0</v>
      </c>
      <c r="H46" s="631">
        <f t="shared" si="17"/>
        <v>27629.14</v>
      </c>
      <c r="I46" s="632">
        <f t="shared" si="17"/>
        <v>27629.14</v>
      </c>
      <c r="J46" s="632">
        <f t="shared" si="17"/>
        <v>0</v>
      </c>
      <c r="K46" s="633">
        <f t="shared" si="17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28850</v>
      </c>
      <c r="E47" s="257">
        <f>'[1]4.Služby občanov'!$AC$4</f>
        <v>28850</v>
      </c>
      <c r="F47" s="257">
        <f>'[1]4.Služby občanov'!$AD$4</f>
        <v>0</v>
      </c>
      <c r="G47" s="352">
        <f>'[1]4.Služby občanov'!$AE$4</f>
        <v>0</v>
      </c>
      <c r="H47" s="634">
        <f>SUM(I47:K47)</f>
        <v>12055.75</v>
      </c>
      <c r="I47" s="635">
        <f>'[1]4.Služby občanov'!$AF$4</f>
        <v>12055.75</v>
      </c>
      <c r="J47" s="635">
        <f>'[1]4.Služby občanov'!$AG$4</f>
        <v>0</v>
      </c>
      <c r="K47" s="636">
        <f>'[1]4.Služby občanov'!$AH$4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K48" si="18">SUM(D49:D50)</f>
        <v>33900</v>
      </c>
      <c r="E48" s="257">
        <f t="shared" si="18"/>
        <v>33900</v>
      </c>
      <c r="F48" s="257">
        <f t="shared" si="18"/>
        <v>0</v>
      </c>
      <c r="G48" s="352">
        <f t="shared" si="18"/>
        <v>0</v>
      </c>
      <c r="H48" s="634">
        <f t="shared" si="18"/>
        <v>15573.39</v>
      </c>
      <c r="I48" s="635">
        <f t="shared" si="18"/>
        <v>15573.39</v>
      </c>
      <c r="J48" s="635">
        <f t="shared" si="18"/>
        <v>0</v>
      </c>
      <c r="K48" s="636">
        <f t="shared" si="1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33900</v>
      </c>
      <c r="E49" s="257">
        <f>'[1]4.Služby občanov'!$AC$17</f>
        <v>33900</v>
      </c>
      <c r="F49" s="257">
        <f>'[1]4.Služby občanov'!$AD$17</f>
        <v>0</v>
      </c>
      <c r="G49" s="352">
        <f>'[1]4.Služby občanov'!$AE$17</f>
        <v>0</v>
      </c>
      <c r="H49" s="634">
        <f>SUM(I49:K49)</f>
        <v>15573.39</v>
      </c>
      <c r="I49" s="635">
        <f>'[1]4.Služby občanov'!$AF$17</f>
        <v>15573.39</v>
      </c>
      <c r="J49" s="635">
        <f>'[1]4.Služby občanov'!$AG$17</f>
        <v>0</v>
      </c>
      <c r="K49" s="636">
        <f>'[1]4.Služby občanov'!$AH$17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0</v>
      </c>
      <c r="E50" s="257">
        <f>'[1]4.Služby občanov'!$AC$28</f>
        <v>0</v>
      </c>
      <c r="F50" s="257">
        <f>'[1]4.Služby občanov'!$AD$28</f>
        <v>0</v>
      </c>
      <c r="G50" s="352">
        <f>'[1]4.Služby občanov'!$AE$28</f>
        <v>0</v>
      </c>
      <c r="H50" s="634">
        <f>SUM(I50:K50)</f>
        <v>0</v>
      </c>
      <c r="I50" s="635">
        <f>'[1]4.Služby občanov'!$AF$28</f>
        <v>0</v>
      </c>
      <c r="J50" s="635">
        <f>'[1]4.Služby občanov'!$AG$28</f>
        <v>0</v>
      </c>
      <c r="K50" s="636">
        <f>'[1]4.Služby občanov'!$AH$28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občanov'!$AC$30</f>
        <v>0</v>
      </c>
      <c r="F51" s="266">
        <f>'[1]4.Služby občanov'!$AD$30</f>
        <v>0</v>
      </c>
      <c r="G51" s="572">
        <f>'[1]4.Služby občanov'!$AE$30</f>
        <v>0</v>
      </c>
      <c r="H51" s="634">
        <f>SUM(I51:K51)</f>
        <v>0</v>
      </c>
      <c r="I51" s="638">
        <f>'[1]4.Služby občanov'!$AF$30</f>
        <v>0</v>
      </c>
      <c r="J51" s="638">
        <f>'[1]4.Služby občanov'!$AG$30</f>
        <v>0</v>
      </c>
      <c r="K51" s="639">
        <f>'[1]4.Služby občanov'!$AH$30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K52" si="19">D53+D58+D60+D59+D65</f>
        <v>1406450</v>
      </c>
      <c r="E52" s="264">
        <f t="shared" si="19"/>
        <v>1291450</v>
      </c>
      <c r="F52" s="264">
        <f t="shared" si="19"/>
        <v>115000</v>
      </c>
      <c r="G52" s="351">
        <f t="shared" si="19"/>
        <v>0</v>
      </c>
      <c r="H52" s="631">
        <f t="shared" si="19"/>
        <v>630808.74</v>
      </c>
      <c r="I52" s="632">
        <f t="shared" si="19"/>
        <v>630808.74</v>
      </c>
      <c r="J52" s="632">
        <f t="shared" si="19"/>
        <v>0</v>
      </c>
      <c r="K52" s="633">
        <f t="shared" si="19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K53" si="20">SUM(D54:D57)</f>
        <v>1025300</v>
      </c>
      <c r="E53" s="257">
        <f t="shared" si="20"/>
        <v>1025300</v>
      </c>
      <c r="F53" s="257">
        <f t="shared" si="20"/>
        <v>0</v>
      </c>
      <c r="G53" s="352">
        <f t="shared" si="20"/>
        <v>0</v>
      </c>
      <c r="H53" s="634">
        <f t="shared" si="20"/>
        <v>487228.5</v>
      </c>
      <c r="I53" s="635">
        <f t="shared" si="20"/>
        <v>487228.5</v>
      </c>
      <c r="J53" s="635">
        <f t="shared" si="20"/>
        <v>0</v>
      </c>
      <c r="K53" s="636">
        <f t="shared" si="20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21">SUM(E54:G54)</f>
        <v>671450</v>
      </c>
      <c r="E54" s="257">
        <f>'[1]5.Bezpečnosť, právo a por.'!$AC$5</f>
        <v>671450</v>
      </c>
      <c r="F54" s="257">
        <f>'[1]5.Bezpečnosť, právo a por.'!$AD$5</f>
        <v>0</v>
      </c>
      <c r="G54" s="352">
        <f>'[1]5.Bezpečnosť, právo a por.'!$AE$5</f>
        <v>0</v>
      </c>
      <c r="H54" s="634">
        <f t="shared" ref="H54:H59" si="22">SUM(I54:K54)</f>
        <v>324102.16000000003</v>
      </c>
      <c r="I54" s="635">
        <f>'[1]5.Bezpečnosť, právo a por.'!$AF$5</f>
        <v>324102.16000000003</v>
      </c>
      <c r="J54" s="635">
        <f>'[1]5.Bezpečnosť, právo a por.'!$AG$5</f>
        <v>0</v>
      </c>
      <c r="K54" s="636">
        <f>'[1]5.Bezpečnosť, právo a por.'!$AH$5</f>
        <v>0</v>
      </c>
    </row>
    <row r="55" spans="1:11" ht="15.75" x14ac:dyDescent="0.25">
      <c r="B55" s="269">
        <v>2</v>
      </c>
      <c r="C55" s="270" t="s">
        <v>214</v>
      </c>
      <c r="D55" s="258">
        <f t="shared" si="21"/>
        <v>188300</v>
      </c>
      <c r="E55" s="257">
        <f>'[1]5.Bezpečnosť, právo a por.'!$AC$60</f>
        <v>188300</v>
      </c>
      <c r="F55" s="257">
        <f>'[1]5.Bezpečnosť, právo a por.'!$AD$60</f>
        <v>0</v>
      </c>
      <c r="G55" s="352">
        <f>'[1]5.Bezpečnosť, právo a por.'!$AE$60</f>
        <v>0</v>
      </c>
      <c r="H55" s="634">
        <f t="shared" si="22"/>
        <v>90841.08</v>
      </c>
      <c r="I55" s="635">
        <f>'[1]5.Bezpečnosť, právo a por.'!$AF$60</f>
        <v>90841.08</v>
      </c>
      <c r="J55" s="635">
        <f>'[1]5.Bezpečnosť, právo a por.'!$AG$60</f>
        <v>0</v>
      </c>
      <c r="K55" s="636">
        <f>'[1]5.Bezpečnosť, právo a por.'!$AH$60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21"/>
        <v>82000</v>
      </c>
      <c r="E56" s="257">
        <f>'[1]5.Bezpečnosť, právo a por.'!$AC$83</f>
        <v>82000</v>
      </c>
      <c r="F56" s="257">
        <f>'[1]5.Bezpečnosť, právo a por.'!$AD$83</f>
        <v>0</v>
      </c>
      <c r="G56" s="352">
        <f>'[1]5.Bezpečnosť, právo a por.'!$AE$83</f>
        <v>0</v>
      </c>
      <c r="H56" s="634">
        <f t="shared" si="22"/>
        <v>36247.910000000003</v>
      </c>
      <c r="I56" s="635">
        <f>'[1]5.Bezpečnosť, právo a por.'!$AF$83</f>
        <v>36247.910000000003</v>
      </c>
      <c r="J56" s="635">
        <f>'[1]5.Bezpečnosť, právo a por.'!$AG$83</f>
        <v>0</v>
      </c>
      <c r="K56" s="636">
        <f>'[1]5.Bezpečnosť, právo a por.'!$AH$83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21"/>
        <v>83550</v>
      </c>
      <c r="E57" s="257">
        <f>'[1]5.Bezpečnosť, právo a por.'!$AC$86</f>
        <v>83550</v>
      </c>
      <c r="F57" s="257">
        <f>'[1]5.Bezpečnosť, právo a por.'!$AD$86</f>
        <v>0</v>
      </c>
      <c r="G57" s="352">
        <f>'[1]5.Bezpečnosť, právo a por.'!$AE$86</f>
        <v>0</v>
      </c>
      <c r="H57" s="634">
        <f t="shared" si="22"/>
        <v>36037.35</v>
      </c>
      <c r="I57" s="635">
        <f>'[1]5.Bezpečnosť, právo a por.'!$AF$86</f>
        <v>36037.35</v>
      </c>
      <c r="J57" s="635">
        <f>'[1]5.Bezpečnosť, právo a por.'!$AG$86</f>
        <v>0</v>
      </c>
      <c r="K57" s="636">
        <f>'[1]5.Bezpečnosť, právo a por.'!$AH$86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21"/>
        <v>0</v>
      </c>
      <c r="E58" s="257">
        <f>'[1]5.Bezpečnosť, právo a por.'!$AC$94</f>
        <v>0</v>
      </c>
      <c r="F58" s="257">
        <f>'[1]5.Bezpečnosť, právo a por.'!$AD$94</f>
        <v>0</v>
      </c>
      <c r="G58" s="352">
        <f>'[1]5.Bezpečnosť, právo a por.'!$AE$94</f>
        <v>0</v>
      </c>
      <c r="H58" s="634">
        <f t="shared" si="22"/>
        <v>0</v>
      </c>
      <c r="I58" s="635">
        <f>'[1]5.Bezpečnosť, právo a por.'!$AF$94</f>
        <v>0</v>
      </c>
      <c r="J58" s="635">
        <f>'[1]5.Bezpečnosť, právo a por.'!$AG$94</f>
        <v>0</v>
      </c>
      <c r="K58" s="636">
        <f>'[1]5.Bezpečnosť, právo a por.'!$AH$94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21"/>
        <v>6850</v>
      </c>
      <c r="E59" s="257">
        <f>'[1]5.Bezpečnosť, právo a por.'!$AC$96</f>
        <v>6850</v>
      </c>
      <c r="F59" s="257">
        <f>'[1]5.Bezpečnosť, právo a por.'!$AD$96</f>
        <v>0</v>
      </c>
      <c r="G59" s="352">
        <f>'[1]5.Bezpečnosť, právo a por.'!$AE$96</f>
        <v>0</v>
      </c>
      <c r="H59" s="634">
        <f t="shared" si="22"/>
        <v>1868.3799999999999</v>
      </c>
      <c r="I59" s="635">
        <f>'[1]5.Bezpečnosť, právo a por.'!$AF$96</f>
        <v>1868.3799999999999</v>
      </c>
      <c r="J59" s="635">
        <f>'[1]5.Bezpečnosť, právo a por.'!$AG$96</f>
        <v>0</v>
      </c>
      <c r="K59" s="636">
        <f>'[1]5.Bezpečnosť, právo a por.'!$AH$96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K60" si="23">SUM(D61:D64)</f>
        <v>365000</v>
      </c>
      <c r="E60" s="257">
        <f t="shared" si="23"/>
        <v>250000</v>
      </c>
      <c r="F60" s="257">
        <f t="shared" si="23"/>
        <v>115000</v>
      </c>
      <c r="G60" s="352">
        <f t="shared" si="23"/>
        <v>0</v>
      </c>
      <c r="H60" s="634">
        <f t="shared" si="23"/>
        <v>139111.85999999999</v>
      </c>
      <c r="I60" s="635">
        <f t="shared" si="23"/>
        <v>139111.85999999999</v>
      </c>
      <c r="J60" s="635">
        <f t="shared" si="23"/>
        <v>0</v>
      </c>
      <c r="K60" s="636">
        <f t="shared" si="23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por.'!$AC$114</f>
        <v>0</v>
      </c>
      <c r="F61" s="257">
        <f>'[1]5.Bezpečnosť, právo a por.'!$AD$114</f>
        <v>115000</v>
      </c>
      <c r="G61" s="352">
        <f>'[1]5.Bezpečnosť, právo a por.'!$AE$114</f>
        <v>0</v>
      </c>
      <c r="H61" s="634">
        <f>SUM(I61:K61)</f>
        <v>0</v>
      </c>
      <c r="I61" s="635">
        <f>'[1]5.Bezpečnosť, právo a por.'!$AF$114</f>
        <v>0</v>
      </c>
      <c r="J61" s="635">
        <f>'[1]5.Bezpečnosť, právo a por.'!$AG$114</f>
        <v>0</v>
      </c>
      <c r="K61" s="636">
        <f>'[1]5.Bezpečnosť, právo a por.'!$AH$114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100000</v>
      </c>
      <c r="E62" s="257">
        <f>'[1]5.Bezpečnosť, právo a por.'!$AC$121</f>
        <v>100000</v>
      </c>
      <c r="F62" s="257">
        <f>'[1]5.Bezpečnosť, právo a por.'!$AD$121</f>
        <v>0</v>
      </c>
      <c r="G62" s="352">
        <f>'[1]5.Bezpečnosť, právo a por.'!$AE$121</f>
        <v>0</v>
      </c>
      <c r="H62" s="634">
        <f>SUM(I62:K62)</f>
        <v>78897.5</v>
      </c>
      <c r="I62" s="635">
        <f>'[1]5.Bezpečnosť, právo a por.'!$AF$121</f>
        <v>78897.5</v>
      </c>
      <c r="J62" s="635">
        <f>'[1]5.Bezpečnosť, právo a por.'!$AG$121</f>
        <v>0</v>
      </c>
      <c r="K62" s="636">
        <f>'[1]5.Bezpečnosť, právo a por.'!$AH$121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150000</v>
      </c>
      <c r="E63" s="257">
        <f>'[1]5.Bezpečnosť, právo a por.'!$AC$124</f>
        <v>150000</v>
      </c>
      <c r="F63" s="257">
        <f>'[1]5.Bezpečnosť, právo a por.'!$AD$124</f>
        <v>0</v>
      </c>
      <c r="G63" s="352">
        <f>'[1]5.Bezpečnosť, právo a por.'!$AE$124</f>
        <v>0</v>
      </c>
      <c r="H63" s="634">
        <f>SUM(I63:K63)</f>
        <v>60214.36</v>
      </c>
      <c r="I63" s="635">
        <f>'[1]5.Bezpečnosť, právo a por.'!$AF$124</f>
        <v>60214.36</v>
      </c>
      <c r="J63" s="635">
        <f>'[1]5.Bezpečnosť, právo a por.'!$AG$124</f>
        <v>0</v>
      </c>
      <c r="K63" s="636">
        <f>'[1]5.Bezpečnosť, právo a por.'!$AH$124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por.'!$AC$127</f>
        <v>0</v>
      </c>
      <c r="F64" s="257">
        <f>'[1]5.Bezpečnosť, právo a por.'!$AD$127</f>
        <v>0</v>
      </c>
      <c r="G64" s="352">
        <f>'[1]5.Bezpečnosť, právo a por.'!$AE$127</f>
        <v>0</v>
      </c>
      <c r="H64" s="634">
        <f>SUM(I64:K64)</f>
        <v>0</v>
      </c>
      <c r="I64" s="635">
        <f>'[1]5.Bezpečnosť, právo a por.'!$AF$127</f>
        <v>0</v>
      </c>
      <c r="J64" s="635">
        <f>'[1]5.Bezpečnosť, právo a por.'!$AG$127</f>
        <v>0</v>
      </c>
      <c r="K64" s="636">
        <f>'[1]5.Bezpečnosť, právo a por.'!$AH$127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K65" si="24">SUM(D66:D67)</f>
        <v>9300</v>
      </c>
      <c r="E65" s="257">
        <f t="shared" si="24"/>
        <v>9300</v>
      </c>
      <c r="F65" s="257">
        <f t="shared" si="24"/>
        <v>0</v>
      </c>
      <c r="G65" s="352">
        <f t="shared" si="24"/>
        <v>0</v>
      </c>
      <c r="H65" s="634">
        <f t="shared" si="24"/>
        <v>2600</v>
      </c>
      <c r="I65" s="635">
        <f t="shared" si="24"/>
        <v>2600</v>
      </c>
      <c r="J65" s="635">
        <f t="shared" si="24"/>
        <v>0</v>
      </c>
      <c r="K65" s="636">
        <f t="shared" si="24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por.'!$AC$131</f>
        <v>6300</v>
      </c>
      <c r="F66" s="257">
        <f>'[1]5.Bezpečnosť, právo a por.'!$AD$131</f>
        <v>0</v>
      </c>
      <c r="G66" s="352">
        <f>'[1]5.Bezpečnosť, právo a por.'!$AE$131</f>
        <v>0</v>
      </c>
      <c r="H66" s="634">
        <f>SUM(I66:K66)</f>
        <v>2600</v>
      </c>
      <c r="I66" s="635">
        <f>'[1]5.Bezpečnosť, právo a por.'!$AF$131</f>
        <v>2600</v>
      </c>
      <c r="J66" s="635">
        <f>'[1]5.Bezpečnosť, právo a por.'!$AG$131</f>
        <v>0</v>
      </c>
      <c r="K66" s="636">
        <f>'[1]5.Bezpečnosť, právo a por.'!$AH$131</f>
        <v>0</v>
      </c>
    </row>
    <row r="67" spans="1:11" ht="16.5" thickBot="1" x14ac:dyDescent="0.3">
      <c r="A67" s="125"/>
      <c r="B67" s="271">
        <v>2</v>
      </c>
      <c r="C67" s="357" t="s">
        <v>421</v>
      </c>
      <c r="D67" s="265">
        <f>SUM(E67:G67)</f>
        <v>3000</v>
      </c>
      <c r="E67" s="266">
        <f>'[1]5.Bezpečnosť, právo a por.'!$AC$133</f>
        <v>3000</v>
      </c>
      <c r="F67" s="266">
        <f>'[1]5.Bezpečnosť, právo a por.'!$AD$133</f>
        <v>0</v>
      </c>
      <c r="G67" s="572">
        <f>'[1]5.Bezpečnosť, právo a por.'!$AE$133</f>
        <v>0</v>
      </c>
      <c r="H67" s="637">
        <f>SUM(I67:K67)</f>
        <v>0</v>
      </c>
      <c r="I67" s="638">
        <f>'[1]5.Bezpečnosť, právo a por.'!$AF$133</f>
        <v>0</v>
      </c>
      <c r="J67" s="638">
        <f>'[1]5.Bezpečnosť, právo a por.'!$AG$133</f>
        <v>0</v>
      </c>
      <c r="K67" s="639">
        <f>'[1]5.Bezpečnosť, právo a por.'!$AH$133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K68" si="25">D69+D72+D75</f>
        <v>1245400</v>
      </c>
      <c r="E68" s="264">
        <f t="shared" si="25"/>
        <v>1245400</v>
      </c>
      <c r="F68" s="264">
        <f t="shared" si="25"/>
        <v>0</v>
      </c>
      <c r="G68" s="351">
        <f t="shared" si="25"/>
        <v>0</v>
      </c>
      <c r="H68" s="631">
        <f t="shared" si="25"/>
        <v>493163.02</v>
      </c>
      <c r="I68" s="632">
        <f t="shared" si="25"/>
        <v>493163.02</v>
      </c>
      <c r="J68" s="632">
        <f t="shared" si="25"/>
        <v>0</v>
      </c>
      <c r="K68" s="633">
        <f t="shared" si="25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K69" si="26">SUM(D70:D71)</f>
        <v>1053400</v>
      </c>
      <c r="E69" s="257">
        <f t="shared" si="26"/>
        <v>1053400</v>
      </c>
      <c r="F69" s="257">
        <f t="shared" si="26"/>
        <v>0</v>
      </c>
      <c r="G69" s="352">
        <f t="shared" si="26"/>
        <v>0</v>
      </c>
      <c r="H69" s="634">
        <f t="shared" si="26"/>
        <v>435153.3</v>
      </c>
      <c r="I69" s="635">
        <f t="shared" si="26"/>
        <v>435153.3</v>
      </c>
      <c r="J69" s="635">
        <f t="shared" si="26"/>
        <v>0</v>
      </c>
      <c r="K69" s="636">
        <f t="shared" si="26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11000</v>
      </c>
      <c r="E70" s="257">
        <f>'[1]6.Odpadové hospodárstvo'!$AC$5</f>
        <v>11000</v>
      </c>
      <c r="F70" s="257">
        <f>'[1]6.Odpadové hospodárstvo'!$AD$5</f>
        <v>0</v>
      </c>
      <c r="G70" s="352">
        <f>'[1]6.Odpadové hospodárstvo'!$AE$5</f>
        <v>0</v>
      </c>
      <c r="H70" s="634">
        <f>SUM(I70:K70)</f>
        <v>2597.31</v>
      </c>
      <c r="I70" s="635">
        <f>'[1]6.Odpadové hospodárstvo'!$AF$5</f>
        <v>2597.31</v>
      </c>
      <c r="J70" s="635">
        <f>'[1]6.Odpadové hospodárstvo'!$AG$5</f>
        <v>0</v>
      </c>
      <c r="K70" s="636">
        <f>'[1]6.Odpadové hospodárstvo'!$AH$5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1042400</v>
      </c>
      <c r="E71" s="257">
        <f>'[1]6.Odpadové hospodárstvo'!$AC$10</f>
        <v>1042400</v>
      </c>
      <c r="F71" s="257">
        <f>'[1]6.Odpadové hospodárstvo'!$AD$10</f>
        <v>0</v>
      </c>
      <c r="G71" s="352">
        <f>'[1]6.Odpadové hospodárstvo'!$AE$10</f>
        <v>0</v>
      </c>
      <c r="H71" s="634">
        <f>SUM(I71:K71)</f>
        <v>432555.99</v>
      </c>
      <c r="I71" s="635">
        <f>'[1]6.Odpadové hospodárstvo'!$AF$10</f>
        <v>432555.99</v>
      </c>
      <c r="J71" s="635">
        <f>'[1]6.Odpadové hospodárstvo'!$AG$10</f>
        <v>0</v>
      </c>
      <c r="K71" s="636">
        <f>'[1]6.Odpadové hospodárstvo'!$AH$10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K72" si="27">SUM(D73:D74)</f>
        <v>0</v>
      </c>
      <c r="E72" s="257">
        <f t="shared" si="27"/>
        <v>0</v>
      </c>
      <c r="F72" s="257">
        <f t="shared" si="27"/>
        <v>0</v>
      </c>
      <c r="G72" s="352">
        <f t="shared" si="27"/>
        <v>0</v>
      </c>
      <c r="H72" s="634">
        <f t="shared" si="27"/>
        <v>0</v>
      </c>
      <c r="I72" s="635">
        <f t="shared" si="27"/>
        <v>0</v>
      </c>
      <c r="J72" s="635">
        <f t="shared" si="27"/>
        <v>0</v>
      </c>
      <c r="K72" s="636">
        <f t="shared" si="27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hospodárstvo'!$AC$26</f>
        <v>0</v>
      </c>
      <c r="F73" s="257">
        <f>'[1]6.Odpadové hospodárstvo'!$AD$26</f>
        <v>0</v>
      </c>
      <c r="G73" s="352">
        <f>'[1]6.Odpadové hospodárstvo'!$AE$26</f>
        <v>0</v>
      </c>
      <c r="H73" s="634">
        <f>SUM(I73:K73)</f>
        <v>0</v>
      </c>
      <c r="I73" s="635">
        <f>'[1]6.Odpadové hospodárstvo'!$AF$26</f>
        <v>0</v>
      </c>
      <c r="J73" s="635">
        <f>'[1]6.Odpadové hospodárstvo'!$AG$26</f>
        <v>0</v>
      </c>
      <c r="K73" s="636">
        <f>'[1]6.Odpadové hospodárstvo'!$AH$26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hospodárstvo'!$AC$29</f>
        <v>0</v>
      </c>
      <c r="F74" s="257">
        <f>'[1]6.Odpadové hospodárstvo'!$AD$29</f>
        <v>0</v>
      </c>
      <c r="G74" s="352">
        <f>'[1]6.Odpadové hospodárstvo'!$AE$29</f>
        <v>0</v>
      </c>
      <c r="H74" s="634">
        <f>SUM(I74:K74)</f>
        <v>0</v>
      </c>
      <c r="I74" s="635">
        <f>'[1]6.Odpadové hospodárstvo'!$AF$29</f>
        <v>0</v>
      </c>
      <c r="J74" s="635">
        <f>'[1]6.Odpadové hospodárstvo'!$AG$29</f>
        <v>0</v>
      </c>
      <c r="K74" s="636">
        <f>'[1]6.Odpadové hospodárstvo'!$AH$29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192000</v>
      </c>
      <c r="E75" s="266">
        <f>'[1]6.Odpadové hospodárstvo'!$AC$31</f>
        <v>192000</v>
      </c>
      <c r="F75" s="266">
        <f>'[1]6.Odpadové hospodárstvo'!$AD$31</f>
        <v>0</v>
      </c>
      <c r="G75" s="572">
        <f>'[1]6.Odpadové hospodárstvo'!$AE$31</f>
        <v>0</v>
      </c>
      <c r="H75" s="637">
        <f>SUM(I75:K75)</f>
        <v>58009.72</v>
      </c>
      <c r="I75" s="638">
        <f>'[1]6.Odpadové hospodárstvo'!$AF$31</f>
        <v>58009.72</v>
      </c>
      <c r="J75" s="638">
        <f>'[1]6.Odpadové hospodárstvo'!$AG$31</f>
        <v>0</v>
      </c>
      <c r="K75" s="639">
        <f>'[1]6.Odpadové hospodárstvo'!$AH$31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K76" si="28">D77+D85+D88</f>
        <v>3267600</v>
      </c>
      <c r="E76" s="264">
        <f t="shared" si="28"/>
        <v>478600</v>
      </c>
      <c r="F76" s="264">
        <f t="shared" si="28"/>
        <v>2789000</v>
      </c>
      <c r="G76" s="351">
        <f t="shared" si="28"/>
        <v>0</v>
      </c>
      <c r="H76" s="631">
        <f t="shared" si="28"/>
        <v>498432.33</v>
      </c>
      <c r="I76" s="632">
        <f t="shared" si="28"/>
        <v>377138.15</v>
      </c>
      <c r="J76" s="632">
        <f t="shared" si="28"/>
        <v>121294.18</v>
      </c>
      <c r="K76" s="633">
        <f t="shared" si="28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K77" si="29">SUM(D78:D84)</f>
        <v>677600</v>
      </c>
      <c r="E77" s="257">
        <f t="shared" si="29"/>
        <v>450600</v>
      </c>
      <c r="F77" s="257">
        <f t="shared" si="29"/>
        <v>227000</v>
      </c>
      <c r="G77" s="352">
        <f t="shared" si="29"/>
        <v>0</v>
      </c>
      <c r="H77" s="634">
        <f t="shared" si="29"/>
        <v>485588.13</v>
      </c>
      <c r="I77" s="635">
        <f t="shared" si="29"/>
        <v>372138.15</v>
      </c>
      <c r="J77" s="635">
        <f t="shared" si="29"/>
        <v>113449.98</v>
      </c>
      <c r="K77" s="636">
        <f t="shared" si="29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'[1]7.Komunikácie'!$AC$5</f>
        <v>0</v>
      </c>
      <c r="F78" s="257">
        <f>'[1]7.Komunikácie'!$AD$5</f>
        <v>0</v>
      </c>
      <c r="G78" s="352">
        <f>'[1]7.Komunikácie'!$AE$5</f>
        <v>0</v>
      </c>
      <c r="H78" s="634">
        <f>SUM(I78:K78)</f>
        <v>0</v>
      </c>
      <c r="I78" s="635">
        <f>'[1]7.Komunikácie'!$AF$5</f>
        <v>0</v>
      </c>
      <c r="J78" s="635">
        <f>'[1]7.Komunikácie'!$AG$5</f>
        <v>0</v>
      </c>
      <c r="K78" s="636">
        <f>'[1]7.Komunikácie'!$AH$5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30">SUM(E79:G79)</f>
        <v>227000</v>
      </c>
      <c r="E79" s="257">
        <f>'[1]7.Komunikácie'!$AC$7</f>
        <v>0</v>
      </c>
      <c r="F79" s="257">
        <f>'[1]7.Komunikácie'!$AD$7</f>
        <v>227000</v>
      </c>
      <c r="G79" s="352">
        <f>'[1]7.Komunikácie'!$AE$7</f>
        <v>0</v>
      </c>
      <c r="H79" s="634">
        <f t="shared" ref="H79:H84" si="31">SUM(I79:K79)</f>
        <v>113449.98</v>
      </c>
      <c r="I79" s="635">
        <f>'[1]7.Komunikácie'!$AF$7</f>
        <v>0</v>
      </c>
      <c r="J79" s="635">
        <f>'[1]7.Komunikácie'!$AG$7</f>
        <v>113449.98</v>
      </c>
      <c r="K79" s="636">
        <f>'[1]7.Komunikácie'!$AH$7</f>
        <v>0</v>
      </c>
    </row>
    <row r="80" spans="1:11" ht="15.75" x14ac:dyDescent="0.25">
      <c r="B80" s="269">
        <v>3</v>
      </c>
      <c r="C80" s="270" t="s">
        <v>247</v>
      </c>
      <c r="D80" s="258">
        <f t="shared" si="30"/>
        <v>80000</v>
      </c>
      <c r="E80" s="257">
        <f>'[1]7.Komunikácie'!$AC$15</f>
        <v>80000</v>
      </c>
      <c r="F80" s="257">
        <f>'[1]7.Komunikácie'!$AD$15</f>
        <v>0</v>
      </c>
      <c r="G80" s="352">
        <f>'[1]7.Komunikácie'!$AE$15</f>
        <v>0</v>
      </c>
      <c r="H80" s="634">
        <f t="shared" si="31"/>
        <v>80844.92</v>
      </c>
      <c r="I80" s="635">
        <f>'[1]7.Komunikácie'!$AF$15</f>
        <v>80844.92</v>
      </c>
      <c r="J80" s="635">
        <f>'[1]7.Komunikácie'!$AG$15</f>
        <v>0</v>
      </c>
      <c r="K80" s="636">
        <f>'[1]7.Komunikácie'!$AH$15</f>
        <v>0</v>
      </c>
    </row>
    <row r="81" spans="2:11" ht="15.75" x14ac:dyDescent="0.25">
      <c r="B81" s="269">
        <v>4</v>
      </c>
      <c r="C81" s="270" t="s">
        <v>248</v>
      </c>
      <c r="D81" s="258">
        <f t="shared" si="30"/>
        <v>240000</v>
      </c>
      <c r="E81" s="257">
        <f>'[1]7.Komunikácie'!$AC$17</f>
        <v>240000</v>
      </c>
      <c r="F81" s="257">
        <f>'[1]7.Komunikácie'!$AD$17</f>
        <v>0</v>
      </c>
      <c r="G81" s="352">
        <f>'[1]7.Komunikácie'!$AE$17</f>
        <v>0</v>
      </c>
      <c r="H81" s="634">
        <f t="shared" si="31"/>
        <v>241068.32</v>
      </c>
      <c r="I81" s="635">
        <f>'[1]7.Komunikácie'!$AF$17</f>
        <v>241068.32</v>
      </c>
      <c r="J81" s="635">
        <f>'[1]7.Komunikácie'!$AG$17</f>
        <v>0</v>
      </c>
      <c r="K81" s="636">
        <f>'[1]7.Komunikácie'!$AH$17</f>
        <v>0</v>
      </c>
    </row>
    <row r="82" spans="2:11" ht="15.75" x14ac:dyDescent="0.25">
      <c r="B82" s="269">
        <v>5</v>
      </c>
      <c r="C82" s="270" t="s">
        <v>249</v>
      </c>
      <c r="D82" s="258">
        <f t="shared" si="30"/>
        <v>90600</v>
      </c>
      <c r="E82" s="257">
        <f>'[1]7.Komunikácie'!$AC$19</f>
        <v>90600</v>
      </c>
      <c r="F82" s="257">
        <f>'[1]7.Komunikácie'!$AD$19</f>
        <v>0</v>
      </c>
      <c r="G82" s="352">
        <f>'[1]7.Komunikácie'!$AE$19</f>
        <v>0</v>
      </c>
      <c r="H82" s="634">
        <f t="shared" si="31"/>
        <v>42066.76</v>
      </c>
      <c r="I82" s="635">
        <f>'[1]7.Komunikácie'!$AF$19</f>
        <v>42066.76</v>
      </c>
      <c r="J82" s="635">
        <f>'[1]7.Komunikácie'!$AG$19</f>
        <v>0</v>
      </c>
      <c r="K82" s="636">
        <f>'[1]7.Komunikácie'!$AH$19</f>
        <v>0</v>
      </c>
    </row>
    <row r="83" spans="2:11" ht="15.75" x14ac:dyDescent="0.25">
      <c r="B83" s="269">
        <v>6</v>
      </c>
      <c r="C83" s="270" t="s">
        <v>250</v>
      </c>
      <c r="D83" s="258">
        <f t="shared" si="30"/>
        <v>30000</v>
      </c>
      <c r="E83" s="257">
        <f>'[1]7.Komunikácie'!$AC$26</f>
        <v>30000</v>
      </c>
      <c r="F83" s="257">
        <f>'[1]7.Komunikácie'!$AD$26</f>
        <v>0</v>
      </c>
      <c r="G83" s="352">
        <f>'[1]7.Komunikácie'!$AE$26</f>
        <v>0</v>
      </c>
      <c r="H83" s="634">
        <f t="shared" si="31"/>
        <v>5560</v>
      </c>
      <c r="I83" s="635">
        <f>'[1]7.Komunikácie'!$AF$26</f>
        <v>5560</v>
      </c>
      <c r="J83" s="635">
        <f>'[1]7.Komunikácie'!$AG$26</f>
        <v>0</v>
      </c>
      <c r="K83" s="636">
        <f>'[1]7.Komunikácie'!$AH$26</f>
        <v>0</v>
      </c>
    </row>
    <row r="84" spans="2:11" ht="15.75" x14ac:dyDescent="0.25">
      <c r="B84" s="269">
        <v>7</v>
      </c>
      <c r="C84" s="270" t="s">
        <v>251</v>
      </c>
      <c r="D84" s="258">
        <f t="shared" si="30"/>
        <v>10000</v>
      </c>
      <c r="E84" s="257">
        <f>'[1]7.Komunikácie'!$AC$28</f>
        <v>10000</v>
      </c>
      <c r="F84" s="257">
        <f>'[1]7.Komunikácie'!$AD$28</f>
        <v>0</v>
      </c>
      <c r="G84" s="352">
        <f>'[1]7.Komunikácie'!$AE$28</f>
        <v>0</v>
      </c>
      <c r="H84" s="634">
        <f t="shared" si="31"/>
        <v>2598.15</v>
      </c>
      <c r="I84" s="635">
        <f>'[1]7.Komunikácie'!$AF$28</f>
        <v>2598.15</v>
      </c>
      <c r="J84" s="635">
        <f>'[1]7.Komunikácie'!$AG$28</f>
        <v>0</v>
      </c>
      <c r="K84" s="636">
        <f>'[1]7.Komunikácie'!$AH$28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K85" si="32">SUM(D86:D87)</f>
        <v>2570000</v>
      </c>
      <c r="E85" s="257">
        <f t="shared" si="32"/>
        <v>28000</v>
      </c>
      <c r="F85" s="257">
        <f t="shared" si="32"/>
        <v>2542000</v>
      </c>
      <c r="G85" s="352">
        <f t="shared" si="32"/>
        <v>0</v>
      </c>
      <c r="H85" s="634">
        <f t="shared" si="32"/>
        <v>0</v>
      </c>
      <c r="I85" s="635">
        <f t="shared" si="32"/>
        <v>0</v>
      </c>
      <c r="J85" s="635">
        <f t="shared" si="32"/>
        <v>0</v>
      </c>
      <c r="K85" s="636">
        <f t="shared" si="3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'[1]7.Komunikácie'!$AC$31</f>
        <v>0</v>
      </c>
      <c r="F86" s="257">
        <f>'[1]7.Komunikácie'!$AD$31</f>
        <v>0</v>
      </c>
      <c r="G86" s="352">
        <f>'[1]7.Komunikácie'!$AE$31</f>
        <v>0</v>
      </c>
      <c r="H86" s="634">
        <f>SUM(I86:K86)</f>
        <v>0</v>
      </c>
      <c r="I86" s="635">
        <f>'[1]7.Komunikácie'!$AF$31</f>
        <v>0</v>
      </c>
      <c r="J86" s="635">
        <f>'[1]7.Komunikácie'!$AG$31</f>
        <v>0</v>
      </c>
      <c r="K86" s="636">
        <f>'[1]7.Komunikácie'!$AH$31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2570000</v>
      </c>
      <c r="E87" s="257">
        <f>'[1]7.Komunikácie'!$AC$33</f>
        <v>28000</v>
      </c>
      <c r="F87" s="257">
        <f>'[1]7.Komunikácie'!$AD$33</f>
        <v>2542000</v>
      </c>
      <c r="G87" s="352">
        <f>'[1]7.Komunikácie'!$AE$33</f>
        <v>0</v>
      </c>
      <c r="H87" s="634">
        <f>SUM(I87:K87)</f>
        <v>0</v>
      </c>
      <c r="I87" s="635">
        <f>'[1]7.Komunikácie'!$AF$33</f>
        <v>0</v>
      </c>
      <c r="J87" s="635">
        <f>'[1]7.Komunikácie'!$AG$33</f>
        <v>0</v>
      </c>
      <c r="K87" s="636">
        <f>'[1]7.Komunikácie'!$AH$33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K88" si="33">SUM(D89:D90)</f>
        <v>20000</v>
      </c>
      <c r="E88" s="257">
        <f t="shared" si="33"/>
        <v>0</v>
      </c>
      <c r="F88" s="257">
        <f t="shared" si="33"/>
        <v>20000</v>
      </c>
      <c r="G88" s="352">
        <f t="shared" si="33"/>
        <v>0</v>
      </c>
      <c r="H88" s="634">
        <f t="shared" si="33"/>
        <v>12844.2</v>
      </c>
      <c r="I88" s="635">
        <f t="shared" si="33"/>
        <v>5000</v>
      </c>
      <c r="J88" s="635">
        <f t="shared" si="33"/>
        <v>7844.2</v>
      </c>
      <c r="K88" s="636">
        <f t="shared" si="33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20000</v>
      </c>
      <c r="E89" s="257">
        <f>'[1]7.Komunikácie'!$AC$36</f>
        <v>0</v>
      </c>
      <c r="F89" s="257">
        <f>'[1]7.Komunikácie'!$AD$36</f>
        <v>20000</v>
      </c>
      <c r="G89" s="352">
        <f>'[1]7.Komunikácie'!$AE$36</f>
        <v>0</v>
      </c>
      <c r="H89" s="634">
        <f>SUM(I89:K89)</f>
        <v>12844.2</v>
      </c>
      <c r="I89" s="635">
        <f>'[1]7.Komunikácie'!$AF$36</f>
        <v>5000</v>
      </c>
      <c r="J89" s="635">
        <f>'[1]7.Komunikácie'!$AG$36</f>
        <v>7844.2</v>
      </c>
      <c r="K89" s="636">
        <f>'[1]7.Komunikácie'!$AH$36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0</v>
      </c>
      <c r="E90" s="266">
        <f>'[1]7.Komunikácie'!$AC$39</f>
        <v>0</v>
      </c>
      <c r="F90" s="266">
        <f>'[1]7.Komunikácie'!$AD$39</f>
        <v>0</v>
      </c>
      <c r="G90" s="572">
        <f>'[1]7.Komunikácie'!$AE$39</f>
        <v>0</v>
      </c>
      <c r="H90" s="637">
        <f>SUM(I90:K90)</f>
        <v>0</v>
      </c>
      <c r="I90" s="638">
        <f>'[1]7.Komunikácie'!$AF$39</f>
        <v>0</v>
      </c>
      <c r="J90" s="638">
        <f>'[1]7.Komunikácie'!$AG$39</f>
        <v>0</v>
      </c>
      <c r="K90" s="639">
        <f>'[1]7.Komunikácie'!$AH$39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K91" si="34">D92+D93</f>
        <v>190000</v>
      </c>
      <c r="E91" s="264">
        <f t="shared" si="34"/>
        <v>190000</v>
      </c>
      <c r="F91" s="264">
        <f t="shared" si="34"/>
        <v>0</v>
      </c>
      <c r="G91" s="351">
        <f t="shared" si="34"/>
        <v>0</v>
      </c>
      <c r="H91" s="631">
        <f t="shared" si="34"/>
        <v>68980</v>
      </c>
      <c r="I91" s="632">
        <f t="shared" si="34"/>
        <v>68980</v>
      </c>
      <c r="J91" s="632">
        <f t="shared" si="34"/>
        <v>0</v>
      </c>
      <c r="K91" s="633">
        <f t="shared" si="34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185000</v>
      </c>
      <c r="E92" s="257">
        <f>'[1]8.Doprava'!$AC$4</f>
        <v>185000</v>
      </c>
      <c r="F92" s="257">
        <f>'[1]8.Doprava'!$AD$4</f>
        <v>0</v>
      </c>
      <c r="G92" s="352">
        <f>'[1]8.Doprava'!$AE$4</f>
        <v>0</v>
      </c>
      <c r="H92" s="634">
        <f>SUM(I92:K92)</f>
        <v>68280</v>
      </c>
      <c r="I92" s="635">
        <f>'[1]8.Doprava'!$AF$4</f>
        <v>68280</v>
      </c>
      <c r="J92" s="635">
        <f>'[1]8.Doprava'!$AG$4</f>
        <v>0</v>
      </c>
      <c r="K92" s="636">
        <f>'[1]8.Doprava'!$AH$4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35">SUM(E94)</f>
        <v>5000</v>
      </c>
      <c r="F93" s="257">
        <f t="shared" si="35"/>
        <v>0</v>
      </c>
      <c r="G93" s="352">
        <f t="shared" si="35"/>
        <v>0</v>
      </c>
      <c r="H93" s="634">
        <f>SUM(H94)</f>
        <v>700</v>
      </c>
      <c r="I93" s="635">
        <f t="shared" si="35"/>
        <v>700</v>
      </c>
      <c r="J93" s="635">
        <f t="shared" si="35"/>
        <v>0</v>
      </c>
      <c r="K93" s="636">
        <f t="shared" si="35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'[1]8.Doprava'!$AC$7</f>
        <v>5000</v>
      </c>
      <c r="F94" s="266">
        <f>'[1]8.Doprava'!$AD$7</f>
        <v>0</v>
      </c>
      <c r="G94" s="572">
        <f>'[1]8.Doprava'!$AE$7</f>
        <v>0</v>
      </c>
      <c r="H94" s="637">
        <f>SUM(I94:K94)</f>
        <v>700</v>
      </c>
      <c r="I94" s="638">
        <f>'[1]8.Doprava'!$AF$7</f>
        <v>700</v>
      </c>
      <c r="J94" s="638">
        <f>'[1]8.Doprava'!$AG$7</f>
        <v>0</v>
      </c>
      <c r="K94" s="639">
        <f>'[1]8.Doprava'!$AH$7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K95" si="36">D96+D97+D106+D113+D116+D117+D118+D119</f>
        <v>15344124</v>
      </c>
      <c r="E95" s="264">
        <f t="shared" si="36"/>
        <v>14963746</v>
      </c>
      <c r="F95" s="264">
        <f t="shared" si="36"/>
        <v>380378</v>
      </c>
      <c r="G95" s="351">
        <f t="shared" si="36"/>
        <v>0</v>
      </c>
      <c r="H95" s="631">
        <f t="shared" si="36"/>
        <v>7407150.169999999</v>
      </c>
      <c r="I95" s="632">
        <f t="shared" si="36"/>
        <v>7278832.7799999993</v>
      </c>
      <c r="J95" s="632">
        <f t="shared" si="36"/>
        <v>128317.39000000001</v>
      </c>
      <c r="K95" s="633">
        <f t="shared" si="36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Vzdelávanie'!$AC$4</f>
        <v>6000</v>
      </c>
      <c r="F96" s="257">
        <f>'[1]9. Vzdelávanie'!$AD$4</f>
        <v>0</v>
      </c>
      <c r="G96" s="352">
        <f>'[1]9. Vzdelávanie'!$AE$4</f>
        <v>0</v>
      </c>
      <c r="H96" s="634">
        <f>SUM(I96:K96)</f>
        <v>3940.6400000000003</v>
      </c>
      <c r="I96" s="635">
        <f>'[1]9. Vzdelávanie'!$AF$4</f>
        <v>3940.6400000000003</v>
      </c>
      <c r="J96" s="635">
        <f>'[1]9. Vzdelávanie'!$AG$4</f>
        <v>0</v>
      </c>
      <c r="K96" s="636">
        <f>'[1]9. Vzdelávanie'!$AH$4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K97" si="37">SUM(D98:D105)</f>
        <v>2620549</v>
      </c>
      <c r="E97" s="257">
        <f t="shared" si="37"/>
        <v>2341751</v>
      </c>
      <c r="F97" s="257">
        <f t="shared" si="37"/>
        <v>278798</v>
      </c>
      <c r="G97" s="352">
        <f t="shared" si="37"/>
        <v>0</v>
      </c>
      <c r="H97" s="634">
        <f t="shared" si="37"/>
        <v>1259144.79</v>
      </c>
      <c r="I97" s="635">
        <f t="shared" si="37"/>
        <v>1223497</v>
      </c>
      <c r="J97" s="635">
        <f t="shared" si="37"/>
        <v>35647.79</v>
      </c>
      <c r="K97" s="636">
        <f t="shared" si="37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502270</v>
      </c>
      <c r="E98" s="257">
        <f>'[1]9. Vzdelávanie'!$AC$20</f>
        <v>263170</v>
      </c>
      <c r="F98" s="257">
        <f>'[1]9. Vzdelávanie'!$AD$20</f>
        <v>239100</v>
      </c>
      <c r="G98" s="352">
        <f>'[1]9. Vzdelávanie'!$AE$20</f>
        <v>0</v>
      </c>
      <c r="H98" s="634">
        <f>SUM(I98:K98)</f>
        <v>169149.79</v>
      </c>
      <c r="I98" s="635">
        <f>'[1]9. Vzdelávanie'!$AF$20</f>
        <v>136502</v>
      </c>
      <c r="J98" s="635">
        <f>'[1]9. Vzdelávanie'!$AG$20</f>
        <v>32647.79</v>
      </c>
      <c r="K98" s="636">
        <f>'[1]9. Vzdelávanie'!$AH$20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38">SUM(E99:G99)</f>
        <v>431342</v>
      </c>
      <c r="E99" s="257">
        <f>'[1]9. Vzdelávanie'!$AC$21</f>
        <v>405950</v>
      </c>
      <c r="F99" s="257">
        <f>'[1]9. Vzdelávanie'!$AD$21</f>
        <v>25392</v>
      </c>
      <c r="G99" s="352">
        <f>'[1]9. Vzdelávanie'!$AE$21</f>
        <v>0</v>
      </c>
      <c r="H99" s="634">
        <f t="shared" ref="H99:H105" si="39">SUM(I99:K99)</f>
        <v>218142</v>
      </c>
      <c r="I99" s="635">
        <f>'[1]9. Vzdelávanie'!$AF$21</f>
        <v>218142</v>
      </c>
      <c r="J99" s="635">
        <f>'[1]9. Vzdelávanie'!$AG$21</f>
        <v>0</v>
      </c>
      <c r="K99" s="636">
        <f>'[1]9. Vzdelávanie'!$AH$21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38"/>
        <v>610925</v>
      </c>
      <c r="E100" s="257">
        <f>'[1]9. Vzdelávanie'!$AC$22</f>
        <v>599619</v>
      </c>
      <c r="F100" s="257">
        <f>'[1]9. Vzdelávanie'!$AD$22</f>
        <v>11306</v>
      </c>
      <c r="G100" s="352">
        <f>'[1]9. Vzdelávanie'!$AE$22</f>
        <v>0</v>
      </c>
      <c r="H100" s="634">
        <f t="shared" si="39"/>
        <v>334555</v>
      </c>
      <c r="I100" s="635">
        <f>'[1]9. Vzdelávanie'!$AF$22</f>
        <v>334555</v>
      </c>
      <c r="J100" s="635">
        <f>'[1]9. Vzdelávanie'!$AG$22</f>
        <v>0</v>
      </c>
      <c r="K100" s="636">
        <f>'[1]9. Vzdelávanie'!$AH$22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38"/>
        <v>0</v>
      </c>
      <c r="E101" s="257">
        <f>'[1]9. Vzdelávanie'!$AC$23</f>
        <v>0</v>
      </c>
      <c r="F101" s="257">
        <f>'[1]9. Vzdelávanie'!$AD$23</f>
        <v>0</v>
      </c>
      <c r="G101" s="352">
        <f>'[1]9. Vzdelávanie'!$AE$23</f>
        <v>0</v>
      </c>
      <c r="H101" s="634">
        <f t="shared" si="39"/>
        <v>0</v>
      </c>
      <c r="I101" s="635">
        <f>'[1]9. Vzdelávanie'!$AF$23</f>
        <v>0</v>
      </c>
      <c r="J101" s="635">
        <f>'[1]9. Vzdelávanie'!$AG$23</f>
        <v>0</v>
      </c>
      <c r="K101" s="636">
        <f>'[1]9. Vzdelávanie'!$AH$23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38"/>
        <v>316410</v>
      </c>
      <c r="E102" s="257">
        <f>'[1]9. Vzdelávanie'!$AC$24</f>
        <v>316410</v>
      </c>
      <c r="F102" s="257">
        <f>'[1]9. Vzdelávanie'!$AD$24</f>
        <v>0</v>
      </c>
      <c r="G102" s="352">
        <f>'[1]9. Vzdelávanie'!$AE$24</f>
        <v>0</v>
      </c>
      <c r="H102" s="634">
        <f t="shared" si="39"/>
        <v>155422</v>
      </c>
      <c r="I102" s="635">
        <f>'[1]9. Vzdelávanie'!$AF$24</f>
        <v>155422</v>
      </c>
      <c r="J102" s="635">
        <f>'[1]9. Vzdelávanie'!$AG$24</f>
        <v>0</v>
      </c>
      <c r="K102" s="636">
        <f>'[1]9. Vzdelávanie'!$AH$24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38"/>
        <v>333150</v>
      </c>
      <c r="E103" s="257">
        <f>'[1]9. Vzdelávanie'!$AC$25</f>
        <v>330150</v>
      </c>
      <c r="F103" s="257">
        <f>'[1]9. Vzdelávanie'!$AD$25</f>
        <v>3000</v>
      </c>
      <c r="G103" s="352">
        <f>'[1]9. Vzdelávanie'!$AE$25</f>
        <v>0</v>
      </c>
      <c r="H103" s="634">
        <f t="shared" si="39"/>
        <v>177514</v>
      </c>
      <c r="I103" s="635">
        <f>'[1]9. Vzdelávanie'!$AF$25</f>
        <v>174514</v>
      </c>
      <c r="J103" s="635">
        <f>'[1]9. Vzdelávanie'!$AG$25</f>
        <v>3000</v>
      </c>
      <c r="K103" s="636">
        <f>'[1]9. Vzdelávanie'!$AH$25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38"/>
        <v>336880</v>
      </c>
      <c r="E104" s="257">
        <f>'[1]9. Vzdelávanie'!$AC$26</f>
        <v>336880</v>
      </c>
      <c r="F104" s="257">
        <f>'[1]9. Vzdelávanie'!$AD$26</f>
        <v>0</v>
      </c>
      <c r="G104" s="352">
        <f>'[1]9. Vzdelávanie'!$AE$26</f>
        <v>0</v>
      </c>
      <c r="H104" s="634">
        <f t="shared" si="39"/>
        <v>163262</v>
      </c>
      <c r="I104" s="635">
        <f>'[1]9. Vzdelávanie'!$AF$26</f>
        <v>163262</v>
      </c>
      <c r="J104" s="635">
        <f>'[1]9. Vzdelávanie'!$AG$26</f>
        <v>0</v>
      </c>
      <c r="K104" s="636">
        <f>'[1]9. Vzdelávanie'!$AH$26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38"/>
        <v>89572</v>
      </c>
      <c r="E105" s="257">
        <f>'[1]9. Vzdelávanie'!$AC$27</f>
        <v>89572</v>
      </c>
      <c r="F105" s="257">
        <f>'[1]9. Vzdelávanie'!$AD$27</f>
        <v>0</v>
      </c>
      <c r="G105" s="352">
        <f>'[1]9. Vzdelávanie'!$AE$27</f>
        <v>0</v>
      </c>
      <c r="H105" s="634">
        <f t="shared" si="39"/>
        <v>41100</v>
      </c>
      <c r="I105" s="635">
        <f>'[1]9. Vzdelávanie'!$AF$27</f>
        <v>41100</v>
      </c>
      <c r="J105" s="635">
        <f>'[1]9. Vzdelávanie'!$AG$27</f>
        <v>0</v>
      </c>
      <c r="K105" s="636">
        <f>'[1]9. Vzdelávanie'!$AH$27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K106" si="40">SUM(D107:D112)</f>
        <v>7540940</v>
      </c>
      <c r="E106" s="257">
        <f t="shared" si="40"/>
        <v>7464940</v>
      </c>
      <c r="F106" s="257">
        <f t="shared" si="40"/>
        <v>76000</v>
      </c>
      <c r="G106" s="352">
        <f t="shared" si="40"/>
        <v>0</v>
      </c>
      <c r="H106" s="634">
        <f t="shared" si="40"/>
        <v>3780093</v>
      </c>
      <c r="I106" s="635">
        <f t="shared" si="40"/>
        <v>3704093</v>
      </c>
      <c r="J106" s="635">
        <f t="shared" si="40"/>
        <v>76000</v>
      </c>
      <c r="K106" s="636">
        <f t="shared" si="40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41">SUM(E107:G107)</f>
        <v>762220</v>
      </c>
      <c r="E107" s="257">
        <f>'[1]9. Vzdelávanie'!$AC$29</f>
        <v>762220</v>
      </c>
      <c r="F107" s="257">
        <f>'[1]9. Vzdelávanie'!$AD$29</f>
        <v>0</v>
      </c>
      <c r="G107" s="352">
        <f>'[1]9. Vzdelávanie'!$AE$29</f>
        <v>0</v>
      </c>
      <c r="H107" s="634">
        <f t="shared" ref="H107:H112" si="42">SUM(I107:K107)</f>
        <v>373123</v>
      </c>
      <c r="I107" s="635">
        <f>'[1]9. Vzdelávanie'!$AF$29</f>
        <v>373123</v>
      </c>
      <c r="J107" s="635">
        <f>'[1]9. Vzdelávanie'!$AG$29</f>
        <v>0</v>
      </c>
      <c r="K107" s="636">
        <f>'[1]9. Vzdelávanie'!$AH$29</f>
        <v>0</v>
      </c>
    </row>
    <row r="108" spans="1:11" ht="15.75" x14ac:dyDescent="0.25">
      <c r="B108" s="269">
        <v>2</v>
      </c>
      <c r="C108" s="270" t="s">
        <v>450</v>
      </c>
      <c r="D108" s="258">
        <f t="shared" si="41"/>
        <v>1167220</v>
      </c>
      <c r="E108" s="257">
        <f>'[1]9. Vzdelávanie'!$AC$32</f>
        <v>1167220</v>
      </c>
      <c r="F108" s="257">
        <f>'[1]9. Vzdelávanie'!$AD$32</f>
        <v>0</v>
      </c>
      <c r="G108" s="352">
        <f>'[1]9. Vzdelávanie'!$AE$32</f>
        <v>0</v>
      </c>
      <c r="H108" s="634">
        <f t="shared" si="42"/>
        <v>559881</v>
      </c>
      <c r="I108" s="635">
        <f>'[1]9. Vzdelávanie'!$AF$32</f>
        <v>559881</v>
      </c>
      <c r="J108" s="635">
        <f>'[1]9. Vzdelávanie'!$AG$32</f>
        <v>0</v>
      </c>
      <c r="K108" s="636">
        <f>'[1]9. Vzdelávanie'!$AH$32</f>
        <v>0</v>
      </c>
    </row>
    <row r="109" spans="1:11" ht="15.75" x14ac:dyDescent="0.25">
      <c r="A109" s="124"/>
      <c r="B109" s="269">
        <v>3</v>
      </c>
      <c r="C109" s="270" t="s">
        <v>451</v>
      </c>
      <c r="D109" s="258">
        <f t="shared" si="41"/>
        <v>1919680</v>
      </c>
      <c r="E109" s="257">
        <f>'[1]9. Vzdelávanie'!$AC$36</f>
        <v>1919680</v>
      </c>
      <c r="F109" s="257">
        <f>'[1]9. Vzdelávanie'!$AD$36</f>
        <v>0</v>
      </c>
      <c r="G109" s="352">
        <f>'[1]9. Vzdelávanie'!$AE$36</f>
        <v>0</v>
      </c>
      <c r="H109" s="634">
        <f t="shared" si="42"/>
        <v>951138</v>
      </c>
      <c r="I109" s="635">
        <f>'[1]9. Vzdelávanie'!$AF$36</f>
        <v>951138</v>
      </c>
      <c r="J109" s="635">
        <f>'[1]9. Vzdelávanie'!$AG$36</f>
        <v>0</v>
      </c>
      <c r="K109" s="636">
        <f>'[1]9. Vzdelávanie'!$AH$36</f>
        <v>0</v>
      </c>
    </row>
    <row r="110" spans="1:11" ht="15.75" x14ac:dyDescent="0.25">
      <c r="A110" s="124"/>
      <c r="B110" s="269">
        <v>4</v>
      </c>
      <c r="C110" s="270" t="s">
        <v>452</v>
      </c>
      <c r="D110" s="258">
        <f t="shared" si="41"/>
        <v>1572970</v>
      </c>
      <c r="E110" s="257">
        <f>'[1]9. Vzdelávanie'!$AC$41</f>
        <v>1572970</v>
      </c>
      <c r="F110" s="257">
        <f>'[1]9. Vzdelávanie'!$AD$41</f>
        <v>0</v>
      </c>
      <c r="G110" s="352">
        <f>'[1]9. Vzdelávanie'!$AE$41</f>
        <v>0</v>
      </c>
      <c r="H110" s="634">
        <f t="shared" si="42"/>
        <v>817906</v>
      </c>
      <c r="I110" s="635">
        <f>'[1]9. Vzdelávanie'!$AF$41</f>
        <v>817906</v>
      </c>
      <c r="J110" s="635">
        <f>'[1]9. Vzdelávanie'!$AG$41</f>
        <v>0</v>
      </c>
      <c r="K110" s="636">
        <f>'[1]9. Vzdelávanie'!$AH$41</f>
        <v>0</v>
      </c>
    </row>
    <row r="111" spans="1:11" ht="15.75" x14ac:dyDescent="0.25">
      <c r="A111" s="124"/>
      <c r="B111" s="269">
        <v>5</v>
      </c>
      <c r="C111" s="270" t="s">
        <v>453</v>
      </c>
      <c r="D111" s="258">
        <f t="shared" si="41"/>
        <v>1394440</v>
      </c>
      <c r="E111" s="257">
        <f>'[1]9. Vzdelávanie'!$AC$44</f>
        <v>1318440</v>
      </c>
      <c r="F111" s="257">
        <f>'[1]9. Vzdelávanie'!$AD$44</f>
        <v>76000</v>
      </c>
      <c r="G111" s="352">
        <f>'[1]9. Vzdelávanie'!$AE$44</f>
        <v>0</v>
      </c>
      <c r="H111" s="634">
        <f t="shared" si="42"/>
        <v>713437</v>
      </c>
      <c r="I111" s="635">
        <f>'[1]9. Vzdelávanie'!$AF$44</f>
        <v>637437</v>
      </c>
      <c r="J111" s="635">
        <f>'[1]9. Vzdelávanie'!$AG$44</f>
        <v>76000</v>
      </c>
      <c r="K111" s="636">
        <f>'[1]9. Vzdelávanie'!$AH$44</f>
        <v>0</v>
      </c>
    </row>
    <row r="112" spans="1:11" ht="15.75" x14ac:dyDescent="0.25">
      <c r="A112" s="124"/>
      <c r="B112" s="269">
        <v>6</v>
      </c>
      <c r="C112" s="270" t="s">
        <v>454</v>
      </c>
      <c r="D112" s="258">
        <f t="shared" si="41"/>
        <v>724410</v>
      </c>
      <c r="E112" s="257">
        <f>'[1]9. Vzdelávanie'!$AC$47</f>
        <v>724410</v>
      </c>
      <c r="F112" s="257">
        <f>'[1]9. Vzdelávanie'!$AD$47</f>
        <v>0</v>
      </c>
      <c r="G112" s="352">
        <f>'[1]9. Vzdelávanie'!$AE$47</f>
        <v>0</v>
      </c>
      <c r="H112" s="634">
        <f t="shared" si="42"/>
        <v>364608</v>
      </c>
      <c r="I112" s="635">
        <f>'[1]9. Vzdelávanie'!$AF$47</f>
        <v>364608</v>
      </c>
      <c r="J112" s="635">
        <f>'[1]9. Vzdelávanie'!$AG$47</f>
        <v>0</v>
      </c>
      <c r="K112" s="636">
        <f>'[1]9. Vzdelávanie'!$AH$47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J113" si="43">SUM(D114:D115)</f>
        <v>1089018</v>
      </c>
      <c r="E113" s="257">
        <f t="shared" si="43"/>
        <v>1089018</v>
      </c>
      <c r="F113" s="257">
        <f t="shared" si="43"/>
        <v>0</v>
      </c>
      <c r="G113" s="352">
        <f t="shared" si="43"/>
        <v>0</v>
      </c>
      <c r="H113" s="634">
        <f t="shared" si="43"/>
        <v>571185</v>
      </c>
      <c r="I113" s="635">
        <f t="shared" si="43"/>
        <v>571185</v>
      </c>
      <c r="J113" s="635">
        <f t="shared" si="43"/>
        <v>0</v>
      </c>
      <c r="K113" s="636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44">SUM(E114:G114)</f>
        <v>765648</v>
      </c>
      <c r="E114" s="257">
        <f>'[1]9. Vzdelávanie'!$AC$51</f>
        <v>765648</v>
      </c>
      <c r="F114" s="257">
        <f>'[1]9. Vzdelávanie'!$AD$51</f>
        <v>0</v>
      </c>
      <c r="G114" s="352">
        <f>'[1]9. Vzdelávanie'!$AE$51</f>
        <v>0</v>
      </c>
      <c r="H114" s="634">
        <f t="shared" ref="H114:H119" si="45">SUM(I114:K114)</f>
        <v>409500</v>
      </c>
      <c r="I114" s="635">
        <f>'[1]9. Vzdelávanie'!$AF$51</f>
        <v>409500</v>
      </c>
      <c r="J114" s="635">
        <f>'[1]9. Vzdelávanie'!$AG$51</f>
        <v>0</v>
      </c>
      <c r="K114" s="636">
        <f>'[1]9. Vzdelávanie'!$AH$51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44"/>
        <v>323370</v>
      </c>
      <c r="E115" s="257">
        <f>'[1]9. Vzdelávanie'!$AC$52</f>
        <v>323370</v>
      </c>
      <c r="F115" s="257">
        <f>'[1]9. Vzdelávanie'!$AD$52</f>
        <v>0</v>
      </c>
      <c r="G115" s="352">
        <f>'[1]9. Vzdelávanie'!$AE$52</f>
        <v>0</v>
      </c>
      <c r="H115" s="634">
        <f t="shared" si="45"/>
        <v>161685</v>
      </c>
      <c r="I115" s="635">
        <f>'[1]9. Vzdelávanie'!$AF$52</f>
        <v>161685</v>
      </c>
      <c r="J115" s="635">
        <f>'[1]9. Vzdelávanie'!$AG$52</f>
        <v>0</v>
      </c>
      <c r="K115" s="636">
        <f>'[1]9. Vzdelávanie'!$AH$52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44"/>
        <v>814944</v>
      </c>
      <c r="E116" s="257">
        <f>'[1]9. Vzdelávanie'!$AC$53</f>
        <v>814944</v>
      </c>
      <c r="F116" s="257">
        <f>'[1]9. Vzdelávanie'!$AD$53</f>
        <v>0</v>
      </c>
      <c r="G116" s="352">
        <f>'[1]9. Vzdelávanie'!$AE$53</f>
        <v>0</v>
      </c>
      <c r="H116" s="634">
        <f t="shared" si="45"/>
        <v>476112.72000000003</v>
      </c>
      <c r="I116" s="635">
        <f>'[1]9. Vzdelávanie'!$AF$53</f>
        <v>476112.72000000003</v>
      </c>
      <c r="J116" s="635">
        <f>'[1]9. Vzdelávanie'!$AG$53</f>
        <v>0</v>
      </c>
      <c r="K116" s="636">
        <f>'[1]9. Vzdelávanie'!$AH$53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44"/>
        <v>1214140</v>
      </c>
      <c r="E117" s="257">
        <f>'[1]9. Vzdelávanie'!$AC$74</f>
        <v>1193168</v>
      </c>
      <c r="F117" s="257">
        <f>'[1]9. Vzdelávanie'!$AD$74</f>
        <v>20972</v>
      </c>
      <c r="G117" s="352">
        <f>'[1]9. Vzdelávanie'!$AE$74</f>
        <v>0</v>
      </c>
      <c r="H117" s="634">
        <f t="shared" si="45"/>
        <v>481854.3</v>
      </c>
      <c r="I117" s="635">
        <f>'[1]9. Vzdelávanie'!$AF$74</f>
        <v>465184.7</v>
      </c>
      <c r="J117" s="635">
        <f>'[1]9. Vzdelávanie'!$AG$74</f>
        <v>16669.600000000002</v>
      </c>
      <c r="K117" s="636">
        <f>'[1]9. Vzdelávanie'!$AH$74</f>
        <v>0</v>
      </c>
    </row>
    <row r="118" spans="1:11" ht="15.75" x14ac:dyDescent="0.25">
      <c r="A118" s="124"/>
      <c r="B118" s="382" t="s">
        <v>294</v>
      </c>
      <c r="C118" s="383" t="s">
        <v>412</v>
      </c>
      <c r="D118" s="258">
        <f t="shared" si="44"/>
        <v>520598</v>
      </c>
      <c r="E118" s="257">
        <f>'[1]9. Vzdelávanie'!$AC$75</f>
        <v>515990</v>
      </c>
      <c r="F118" s="257">
        <f>'[1]9. Vzdelávanie'!$AD$75</f>
        <v>4608</v>
      </c>
      <c r="G118" s="352">
        <f>'[1]9. Vzdelávanie'!$AE$75</f>
        <v>0</v>
      </c>
      <c r="H118" s="634">
        <f t="shared" si="45"/>
        <v>74647.3</v>
      </c>
      <c r="I118" s="635">
        <f>'[1]9. Vzdelávanie'!$AF$75</f>
        <v>74647.3</v>
      </c>
      <c r="J118" s="635">
        <f>'[1]9. Vzdelávanie'!$AG$75</f>
        <v>0</v>
      </c>
      <c r="K118" s="636">
        <f>'[1]9. Vzdelávanie'!$AH$75</f>
        <v>0</v>
      </c>
    </row>
    <row r="119" spans="1:11" ht="16.5" thickBot="1" x14ac:dyDescent="0.3">
      <c r="A119" s="124"/>
      <c r="B119" s="381" t="s">
        <v>461</v>
      </c>
      <c r="C119" s="358" t="s">
        <v>462</v>
      </c>
      <c r="D119" s="265">
        <f t="shared" si="44"/>
        <v>1537935</v>
      </c>
      <c r="E119" s="266">
        <f>'[1]9. Vzdelávanie'!$AC$82</f>
        <v>1537935</v>
      </c>
      <c r="F119" s="266">
        <f>'[1]9. Vzdelávanie'!$AD$82</f>
        <v>0</v>
      </c>
      <c r="G119" s="572">
        <f>'[1]9. Vzdelávanie'!$AE$82</f>
        <v>0</v>
      </c>
      <c r="H119" s="637">
        <f t="shared" si="45"/>
        <v>760172.42</v>
      </c>
      <c r="I119" s="638">
        <f>'[1]9. Vzdelávanie'!$AF$82</f>
        <v>760172.42</v>
      </c>
      <c r="J119" s="638">
        <f>'[1]9. Vzdelávanie'!$AG$82</f>
        <v>0</v>
      </c>
      <c r="K119" s="639">
        <f>'[1]9. Vzdelávanie'!$AH$82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K120" si="46">D121+D122+D130</f>
        <v>466250</v>
      </c>
      <c r="E120" s="264">
        <f t="shared" si="46"/>
        <v>466250</v>
      </c>
      <c r="F120" s="264">
        <f t="shared" si="46"/>
        <v>0</v>
      </c>
      <c r="G120" s="351">
        <f t="shared" si="46"/>
        <v>0</v>
      </c>
      <c r="H120" s="631">
        <f t="shared" si="46"/>
        <v>222751.13999999998</v>
      </c>
      <c r="I120" s="632">
        <f t="shared" si="46"/>
        <v>211107.13999999998</v>
      </c>
      <c r="J120" s="632">
        <f t="shared" si="46"/>
        <v>11644</v>
      </c>
      <c r="K120" s="633">
        <f t="shared" si="46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Šport'!$AC$4</f>
        <v>5000</v>
      </c>
      <c r="F121" s="257">
        <f>'[1]10. Šport'!$AD$4</f>
        <v>0</v>
      </c>
      <c r="G121" s="352">
        <f>'[1]10. Šport'!$AE$4</f>
        <v>0</v>
      </c>
      <c r="H121" s="634">
        <f>SUM(I121:K121)</f>
        <v>1037.5999999999999</v>
      </c>
      <c r="I121" s="635">
        <f>'[1]10. Šport'!$AF$4</f>
        <v>1037.5999999999999</v>
      </c>
      <c r="J121" s="635">
        <f>'[1]10. Šport'!$AG$4</f>
        <v>0</v>
      </c>
      <c r="K121" s="636">
        <f>'[1]10. Šport'!$AH$4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K122" si="47">SUM(D123:D129)</f>
        <v>458250</v>
      </c>
      <c r="E122" s="257">
        <f t="shared" si="47"/>
        <v>458250</v>
      </c>
      <c r="F122" s="257">
        <f t="shared" si="47"/>
        <v>0</v>
      </c>
      <c r="G122" s="352">
        <f t="shared" si="47"/>
        <v>0</v>
      </c>
      <c r="H122" s="634">
        <f t="shared" si="47"/>
        <v>218713.53999999998</v>
      </c>
      <c r="I122" s="635">
        <f t="shared" si="47"/>
        <v>207069.53999999998</v>
      </c>
      <c r="J122" s="635">
        <f t="shared" si="47"/>
        <v>11644</v>
      </c>
      <c r="K122" s="636">
        <f t="shared" si="47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52200</v>
      </c>
      <c r="E123" s="257">
        <f>'[1]10. Šport'!$AC$12</f>
        <v>52200</v>
      </c>
      <c r="F123" s="257">
        <f>'[1]10. Šport'!$AD$12</f>
        <v>0</v>
      </c>
      <c r="G123" s="352">
        <f>'[1]10. Šport'!$AE$12</f>
        <v>0</v>
      </c>
      <c r="H123" s="634">
        <f>SUM(I123:K123)</f>
        <v>30089.050000000003</v>
      </c>
      <c r="I123" s="635">
        <f>'[1]10. Šport'!$AF$12</f>
        <v>30089.050000000003</v>
      </c>
      <c r="J123" s="635">
        <f>'[1]10. Šport'!$AG$12</f>
        <v>0</v>
      </c>
      <c r="K123" s="636">
        <f>'[1]10. Šport'!$AH$12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48">SUM(E124:G124)</f>
        <v>84000</v>
      </c>
      <c r="E124" s="257">
        <f>'[1]10. Šport'!$AC$32</f>
        <v>84000</v>
      </c>
      <c r="F124" s="257">
        <f>'[1]10. Šport'!$AD$32</f>
        <v>0</v>
      </c>
      <c r="G124" s="352">
        <f>'[1]10. Šport'!$AE$32</f>
        <v>0</v>
      </c>
      <c r="H124" s="634">
        <f t="shared" ref="H124:H130" si="49">SUM(I124:K124)</f>
        <v>38024.6</v>
      </c>
      <c r="I124" s="635">
        <f>'[1]10. Šport'!$AF$32</f>
        <v>38024.6</v>
      </c>
      <c r="J124" s="635">
        <f>'[1]10. Šport'!$AG$32</f>
        <v>0</v>
      </c>
      <c r="K124" s="636">
        <f>'[1]10. Šport'!$AH$32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48"/>
        <v>34500</v>
      </c>
      <c r="E125" s="257">
        <f>'[1]10. Šport'!$AC$53</f>
        <v>34500</v>
      </c>
      <c r="F125" s="257">
        <f>'[1]10. Šport'!$AD$53</f>
        <v>0</v>
      </c>
      <c r="G125" s="352">
        <f>'[1]10. Šport'!$AE$53</f>
        <v>0</v>
      </c>
      <c r="H125" s="634">
        <f t="shared" si="49"/>
        <v>16237.86</v>
      </c>
      <c r="I125" s="635">
        <f>'[1]10. Šport'!$AF$53</f>
        <v>16237.86</v>
      </c>
      <c r="J125" s="635">
        <f>'[1]10. Šport'!$AG$53</f>
        <v>0</v>
      </c>
      <c r="K125" s="636">
        <f>'[1]10. Šport'!$AH$53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48"/>
        <v>251200</v>
      </c>
      <c r="E126" s="257">
        <f>'[1]10. Šport'!$AC$65</f>
        <v>251200</v>
      </c>
      <c r="F126" s="257">
        <f>'[1]10. Šport'!$AD$65</f>
        <v>0</v>
      </c>
      <c r="G126" s="352">
        <f>'[1]10. Šport'!$AE$65</f>
        <v>0</v>
      </c>
      <c r="H126" s="634">
        <f t="shared" si="49"/>
        <v>110885.13999999998</v>
      </c>
      <c r="I126" s="635">
        <f>'[1]10. Šport'!$AF$65</f>
        <v>110885.13999999998</v>
      </c>
      <c r="J126" s="635">
        <f>'[1]10. Šport'!$AG$65</f>
        <v>0</v>
      </c>
      <c r="K126" s="636">
        <f>'[1]10. Šport'!$AH$65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48"/>
        <v>13350</v>
      </c>
      <c r="E127" s="257">
        <f>'[1]10. Šport'!$AC$86</f>
        <v>13350</v>
      </c>
      <c r="F127" s="257">
        <f>'[1]10. Šport'!$AD$86</f>
        <v>0</v>
      </c>
      <c r="G127" s="352">
        <f>'[1]10. Šport'!$AE$86</f>
        <v>0</v>
      </c>
      <c r="H127" s="634">
        <f t="shared" si="49"/>
        <v>2662.3199999999997</v>
      </c>
      <c r="I127" s="635">
        <f>'[1]10. Šport'!$AF$86</f>
        <v>2662.3199999999997</v>
      </c>
      <c r="J127" s="635">
        <f>'[1]10. Šport'!$AG$86</f>
        <v>0</v>
      </c>
      <c r="K127" s="636">
        <f>'[1]10. Šport'!$AH$86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48"/>
        <v>1000</v>
      </c>
      <c r="E128" s="257">
        <f>'[1]10. Šport'!$AC$94</f>
        <v>1000</v>
      </c>
      <c r="F128" s="257">
        <f>'[1]10. Šport'!$AD$94</f>
        <v>0</v>
      </c>
      <c r="G128" s="352">
        <f>'[1]10. Šport'!$AE$94</f>
        <v>0</v>
      </c>
      <c r="H128" s="634">
        <f t="shared" si="49"/>
        <v>11754</v>
      </c>
      <c r="I128" s="635">
        <f>'[1]10. Šport'!$AF$94</f>
        <v>110</v>
      </c>
      <c r="J128" s="635">
        <f>'[1]10. Šport'!$AG$94</f>
        <v>11644</v>
      </c>
      <c r="K128" s="636">
        <f>'[1]10. Šport'!$AH$94</f>
        <v>0</v>
      </c>
    </row>
    <row r="129" spans="2:11" ht="15.75" x14ac:dyDescent="0.25">
      <c r="B129" s="285">
        <v>7</v>
      </c>
      <c r="C129" s="286" t="s">
        <v>459</v>
      </c>
      <c r="D129" s="258">
        <f t="shared" si="48"/>
        <v>22000</v>
      </c>
      <c r="E129" s="257">
        <f>'[1]10. Šport'!$AC$100</f>
        <v>22000</v>
      </c>
      <c r="F129" s="257">
        <f>'[1]10. Šport'!$AD$100</f>
        <v>0</v>
      </c>
      <c r="G129" s="352">
        <f>'[1]10. Šport'!$AE$100</f>
        <v>0</v>
      </c>
      <c r="H129" s="634">
        <f t="shared" si="49"/>
        <v>9060.57</v>
      </c>
      <c r="I129" s="635">
        <f>'[1]10. Šport'!$AF$100</f>
        <v>9060.57</v>
      </c>
      <c r="J129" s="635">
        <f>'[1]10. Šport'!$AG$100</f>
        <v>0</v>
      </c>
      <c r="K129" s="636">
        <f>'[1]10. Šport'!$AH$100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48"/>
        <v>3000</v>
      </c>
      <c r="E130" s="266">
        <f>'[1]10. Šport'!$AC$108</f>
        <v>3000</v>
      </c>
      <c r="F130" s="266">
        <f>'[1]10. Šport'!$AD$108</f>
        <v>0</v>
      </c>
      <c r="G130" s="572">
        <f>'[1]10. Šport'!$AE$108</f>
        <v>0</v>
      </c>
      <c r="H130" s="637">
        <f t="shared" si="49"/>
        <v>3000</v>
      </c>
      <c r="I130" s="638">
        <f>'[1]10. Šport'!$AF$108</f>
        <v>3000</v>
      </c>
      <c r="J130" s="638">
        <f>'[1]10. Šport'!$AG$108</f>
        <v>0</v>
      </c>
      <c r="K130" s="639">
        <f>'[1]10. Šport'!$AH$108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K131" si="50">D132+D133+D138+D139</f>
        <v>1509220</v>
      </c>
      <c r="E131" s="264">
        <f t="shared" si="50"/>
        <v>1011120</v>
      </c>
      <c r="F131" s="264">
        <f t="shared" si="50"/>
        <v>498100</v>
      </c>
      <c r="G131" s="351">
        <f t="shared" si="50"/>
        <v>0</v>
      </c>
      <c r="H131" s="631">
        <f t="shared" si="50"/>
        <v>1025434.9999999999</v>
      </c>
      <c r="I131" s="632">
        <f t="shared" si="50"/>
        <v>527760.67999999993</v>
      </c>
      <c r="J131" s="632">
        <f t="shared" si="50"/>
        <v>497674.32</v>
      </c>
      <c r="K131" s="633">
        <f t="shared" si="50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13700</v>
      </c>
      <c r="E132" s="257">
        <f>'[1]11. Kultúra'!$AC$4</f>
        <v>13700</v>
      </c>
      <c r="F132" s="257">
        <f>'[1]11. Kultúra'!$AD$4</f>
        <v>0</v>
      </c>
      <c r="G132" s="352">
        <f>'[1]11. Kultúra'!$AE$4</f>
        <v>0</v>
      </c>
      <c r="H132" s="634">
        <f>SUM(I132:K132)</f>
        <v>3972.8500000000004</v>
      </c>
      <c r="I132" s="635">
        <f>'[1]11. Kultúra'!$AF$4</f>
        <v>3972.8500000000004</v>
      </c>
      <c r="J132" s="635">
        <f>'[1]11. Kultúra'!$AG$4</f>
        <v>0</v>
      </c>
      <c r="K132" s="636">
        <f>'[1]11. Kultúra'!$AH$4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K133" si="51">SUM(D134:D137)</f>
        <v>1490520</v>
      </c>
      <c r="E133" s="257">
        <f t="shared" si="51"/>
        <v>992420</v>
      </c>
      <c r="F133" s="257">
        <f t="shared" si="51"/>
        <v>498100</v>
      </c>
      <c r="G133" s="352">
        <f t="shared" si="51"/>
        <v>0</v>
      </c>
      <c r="H133" s="634">
        <f t="shared" si="51"/>
        <v>1018462.1499999999</v>
      </c>
      <c r="I133" s="635">
        <f t="shared" si="51"/>
        <v>520787.82999999996</v>
      </c>
      <c r="J133" s="635">
        <f t="shared" si="51"/>
        <v>497674.32</v>
      </c>
      <c r="K133" s="636">
        <f t="shared" si="5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52">SUM(E134:G134)</f>
        <v>203000</v>
      </c>
      <c r="E134" s="257">
        <f>'[1]11. Kultúra'!$AC$20</f>
        <v>203000</v>
      </c>
      <c r="F134" s="257">
        <f>'[1]11. Kultúra'!$AD$20</f>
        <v>0</v>
      </c>
      <c r="G134" s="352">
        <f>'[1]11. Kultúra'!$AE$20</f>
        <v>0</v>
      </c>
      <c r="H134" s="634">
        <f t="shared" ref="H134:H139" si="53">SUM(I134:K134)</f>
        <v>97986.62</v>
      </c>
      <c r="I134" s="635">
        <f>'[1]11. Kultúra'!$AF$20</f>
        <v>97986.62</v>
      </c>
      <c r="J134" s="635">
        <f>'[1]11. Kultúra'!$AG$20</f>
        <v>0</v>
      </c>
      <c r="K134" s="636">
        <f>'[1]11. Kultúra'!$AH$20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52"/>
        <v>2700</v>
      </c>
      <c r="E135" s="257">
        <f>'[1]11. Kultúra'!$AC$27</f>
        <v>2700</v>
      </c>
      <c r="F135" s="257">
        <f>'[1]11. Kultúra'!$AD$27</f>
        <v>0</v>
      </c>
      <c r="G135" s="352">
        <f>'[1]11. Kultúra'!$AE$27</f>
        <v>0</v>
      </c>
      <c r="H135" s="634">
        <f t="shared" si="53"/>
        <v>140</v>
      </c>
      <c r="I135" s="635">
        <f>'[1]11. Kultúra'!$AF$27</f>
        <v>140</v>
      </c>
      <c r="J135" s="635">
        <f>'[1]11. Kultúra'!$AG$27</f>
        <v>0</v>
      </c>
      <c r="K135" s="636">
        <f>'[1]11. Kultúra'!$AH$27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52"/>
        <v>1268000</v>
      </c>
      <c r="E136" s="257">
        <f>'[1]11. Kultúra'!$AC$37</f>
        <v>769900</v>
      </c>
      <c r="F136" s="257">
        <f>'[1]11. Kultúra'!$AD$37</f>
        <v>498100</v>
      </c>
      <c r="G136" s="352">
        <f>'[1]11. Kultúra'!$AE$37</f>
        <v>0</v>
      </c>
      <c r="H136" s="634">
        <f t="shared" si="53"/>
        <v>916801.96</v>
      </c>
      <c r="I136" s="635">
        <f>'[1]11. Kultúra'!$AF$37</f>
        <v>419127.63999999996</v>
      </c>
      <c r="J136" s="635">
        <f>'[1]11. Kultúra'!$AG$37</f>
        <v>497674.32</v>
      </c>
      <c r="K136" s="636">
        <f>'[1]11. Kultúra'!$AH$37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52"/>
        <v>16820</v>
      </c>
      <c r="E137" s="257">
        <f>'[1]11. Kultúra'!$AC$126</f>
        <v>16820</v>
      </c>
      <c r="F137" s="257">
        <f>'[1]11. Kultúra'!$AD$126</f>
        <v>0</v>
      </c>
      <c r="G137" s="352">
        <f>'[1]11. Kultúra'!$AE$126</f>
        <v>0</v>
      </c>
      <c r="H137" s="634">
        <f t="shared" si="53"/>
        <v>3533.5699999999997</v>
      </c>
      <c r="I137" s="635">
        <f>'[1]11. Kultúra'!$AF$126</f>
        <v>3533.5699999999997</v>
      </c>
      <c r="J137" s="635">
        <f>'[1]11. Kultúra'!$AG$126</f>
        <v>0</v>
      </c>
      <c r="K137" s="636">
        <f>'[1]11. Kultúra'!$AH$126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52"/>
        <v>2000</v>
      </c>
      <c r="E138" s="257">
        <f>'[1]11. Kultúra'!$AC$141</f>
        <v>2000</v>
      </c>
      <c r="F138" s="257">
        <f>'[1]11. Kultúra'!$AD$141</f>
        <v>0</v>
      </c>
      <c r="G138" s="352">
        <f>'[1]11. Kultúra'!$AE$141</f>
        <v>0</v>
      </c>
      <c r="H138" s="634">
        <f t="shared" si="53"/>
        <v>0</v>
      </c>
      <c r="I138" s="635">
        <f>'[1]11. Kultúra'!$AF$141</f>
        <v>0</v>
      </c>
      <c r="J138" s="635">
        <f>'[1]11. Kultúra'!$AG$141</f>
        <v>0</v>
      </c>
      <c r="K138" s="636">
        <f>'[1]11. Kultúra'!$AH$141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52"/>
        <v>3000</v>
      </c>
      <c r="E139" s="360">
        <f>'[1]11. Kultúra'!$AC$144</f>
        <v>3000</v>
      </c>
      <c r="F139" s="360">
        <f>'[1]11. Kultúra'!$AD$144</f>
        <v>0</v>
      </c>
      <c r="G139" s="573">
        <f>'[1]11. Kultúra'!$AE$144</f>
        <v>0</v>
      </c>
      <c r="H139" s="637">
        <f t="shared" si="53"/>
        <v>3000</v>
      </c>
      <c r="I139" s="640">
        <f>'[1]11. Kultúra'!$AF$144</f>
        <v>3000</v>
      </c>
      <c r="J139" s="640">
        <f>'[1]11. Kultúra'!$AG$144</f>
        <v>0</v>
      </c>
      <c r="K139" s="641">
        <f>'[1]11. Kultúra'!$AH$144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K140" si="54">D141+D146+D147+D148+D149+D150+D151</f>
        <v>1211328</v>
      </c>
      <c r="E140" s="264">
        <f t="shared" si="54"/>
        <v>474328</v>
      </c>
      <c r="F140" s="264">
        <f t="shared" si="54"/>
        <v>737000</v>
      </c>
      <c r="G140" s="351">
        <f t="shared" si="54"/>
        <v>0</v>
      </c>
      <c r="H140" s="631">
        <f t="shared" si="54"/>
        <v>847170.69</v>
      </c>
      <c r="I140" s="632">
        <f t="shared" si="54"/>
        <v>162405.79</v>
      </c>
      <c r="J140" s="632">
        <f t="shared" si="54"/>
        <v>684764.9</v>
      </c>
      <c r="K140" s="633">
        <f t="shared" si="54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K141" si="55">SUM(D142:D145)</f>
        <v>1102300</v>
      </c>
      <c r="E141" s="257">
        <f t="shared" si="55"/>
        <v>375300</v>
      </c>
      <c r="F141" s="257">
        <f t="shared" si="55"/>
        <v>727000</v>
      </c>
      <c r="G141" s="352">
        <f t="shared" si="55"/>
        <v>0</v>
      </c>
      <c r="H141" s="634">
        <f t="shared" si="55"/>
        <v>801903.51</v>
      </c>
      <c r="I141" s="635">
        <f t="shared" si="55"/>
        <v>117138.61</v>
      </c>
      <c r="J141" s="635">
        <f t="shared" si="55"/>
        <v>684764.9</v>
      </c>
      <c r="K141" s="636">
        <f t="shared" si="55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1096000</v>
      </c>
      <c r="E142" s="257">
        <f>'[1]12. Prostredie pre život'!$AC$5</f>
        <v>369000</v>
      </c>
      <c r="F142" s="257">
        <f>'[1]12. Prostredie pre život'!$AD$5</f>
        <v>727000</v>
      </c>
      <c r="G142" s="352">
        <f>'[1]12. Prostredie pre život'!$AE$5</f>
        <v>0</v>
      </c>
      <c r="H142" s="634">
        <f>SUM(I142:K142)</f>
        <v>796735.51</v>
      </c>
      <c r="I142" s="635">
        <f>'[1]12. Prostredie pre život'!$AF$5</f>
        <v>111970.61</v>
      </c>
      <c r="J142" s="635">
        <f>'[1]12. Prostredie pre život'!$AG$5</f>
        <v>684764.9</v>
      </c>
      <c r="K142" s="636">
        <f>'[1]12. Prostredie pre život'!$AH$5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56">SUM(E143:G143)</f>
        <v>5000</v>
      </c>
      <c r="E143" s="257">
        <f>'[1]12. Prostredie pre život'!$AC$23</f>
        <v>5000</v>
      </c>
      <c r="F143" s="257">
        <f>'[1]12. Prostredie pre život'!$AD$23</f>
        <v>0</v>
      </c>
      <c r="G143" s="352">
        <f>'[1]12. Prostredie pre život'!$AE$23</f>
        <v>0</v>
      </c>
      <c r="H143" s="634">
        <f t="shared" ref="H143:H151" si="57">SUM(I143:K143)</f>
        <v>4454</v>
      </c>
      <c r="I143" s="635">
        <f>'[1]12. Prostredie pre život'!$AF$23</f>
        <v>4454</v>
      </c>
      <c r="J143" s="635">
        <f>'[1]12. Prostredie pre život'!$AG$23</f>
        <v>0</v>
      </c>
      <c r="K143" s="636">
        <f>'[1]12. Prostredie pre život'!$AH$23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56"/>
        <v>500</v>
      </c>
      <c r="E144" s="257">
        <f>'[1]12. Prostredie pre život'!$AC$25</f>
        <v>500</v>
      </c>
      <c r="F144" s="257">
        <f>'[1]12. Prostredie pre život'!$AD$25</f>
        <v>0</v>
      </c>
      <c r="G144" s="352">
        <f>'[1]12. Prostredie pre život'!$AE$25</f>
        <v>0</v>
      </c>
      <c r="H144" s="634">
        <f t="shared" si="57"/>
        <v>0</v>
      </c>
      <c r="I144" s="635">
        <f>'[1]12. Prostredie pre život'!$AF$25</f>
        <v>0</v>
      </c>
      <c r="J144" s="635">
        <f>'[1]12. Prostredie pre život'!$AG$25</f>
        <v>0</v>
      </c>
      <c r="K144" s="636">
        <f>'[1]12. Prostredie pre život'!$AH$25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56"/>
        <v>800</v>
      </c>
      <c r="E145" s="257">
        <f>'[1]12. Prostredie pre život'!$AC$42</f>
        <v>800</v>
      </c>
      <c r="F145" s="257">
        <f>'[1]12. Prostredie pre život'!$AD$42</f>
        <v>0</v>
      </c>
      <c r="G145" s="352">
        <f>'[1]12. Prostredie pre život'!$AE$42</f>
        <v>0</v>
      </c>
      <c r="H145" s="634">
        <f t="shared" si="57"/>
        <v>714</v>
      </c>
      <c r="I145" s="635">
        <f>'[1]12. Prostredie pre život'!$AF$42</f>
        <v>714</v>
      </c>
      <c r="J145" s="635">
        <f>'[1]12. Prostredie pre život'!$AG$42</f>
        <v>0</v>
      </c>
      <c r="K145" s="636">
        <f>'[1]12. Prostredie pre život'!$AH$42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56"/>
        <v>5178</v>
      </c>
      <c r="E146" s="257">
        <f>'[1]12. Prostredie pre život'!$AC$46</f>
        <v>5178</v>
      </c>
      <c r="F146" s="257">
        <f>'[1]12. Prostredie pre život'!$AD$46</f>
        <v>0</v>
      </c>
      <c r="G146" s="352">
        <f>'[1]12. Prostredie pre život'!$AE$46</f>
        <v>0</v>
      </c>
      <c r="H146" s="634">
        <f t="shared" si="57"/>
        <v>0</v>
      </c>
      <c r="I146" s="635">
        <f>'[1]12. Prostredie pre život'!$AF$46</f>
        <v>0</v>
      </c>
      <c r="J146" s="635">
        <f>'[1]12. Prostredie pre život'!$AG$46</f>
        <v>0</v>
      </c>
      <c r="K146" s="636">
        <f>'[1]12. Prostredie pre život'!$AH$46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56"/>
        <v>23250</v>
      </c>
      <c r="E147" s="257">
        <f>'[1]12. Prostredie pre život'!$AC$49</f>
        <v>23250</v>
      </c>
      <c r="F147" s="257">
        <f>'[1]12. Prostredie pre život'!$AD$49</f>
        <v>0</v>
      </c>
      <c r="G147" s="352">
        <f>'[1]12. Prostredie pre život'!$AE$49</f>
        <v>0</v>
      </c>
      <c r="H147" s="634">
        <f t="shared" si="57"/>
        <v>9985.31</v>
      </c>
      <c r="I147" s="635">
        <f>'[1]12. Prostredie pre život'!$AF$49</f>
        <v>9985.31</v>
      </c>
      <c r="J147" s="635">
        <f>'[1]12. Prostredie pre život'!$AG$49</f>
        <v>0</v>
      </c>
      <c r="K147" s="636">
        <f>'[1]12. Prostredie pre život'!$AH$49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56"/>
        <v>500</v>
      </c>
      <c r="E148" s="257">
        <f>'[1]12. Prostredie pre život'!$AC$70</f>
        <v>500</v>
      </c>
      <c r="F148" s="257">
        <f>'[1]12. Prostredie pre život'!$AD$70</f>
        <v>0</v>
      </c>
      <c r="G148" s="352">
        <f>'[1]12. Prostredie pre život'!$AE$70</f>
        <v>0</v>
      </c>
      <c r="H148" s="634">
        <f t="shared" si="57"/>
        <v>316.97000000000003</v>
      </c>
      <c r="I148" s="635">
        <f>'[1]12. Prostredie pre život'!$AF$70</f>
        <v>316.97000000000003</v>
      </c>
      <c r="J148" s="635">
        <f>'[1]12. Prostredie pre život'!$AG$70</f>
        <v>0</v>
      </c>
      <c r="K148" s="636">
        <f>'[1]12. Prostredie pre život'!$AH$70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56"/>
        <v>32100</v>
      </c>
      <c r="E149" s="257">
        <f>'[1]12. Prostredie pre život'!$AC$72</f>
        <v>32100</v>
      </c>
      <c r="F149" s="257">
        <f>'[1]12. Prostredie pre život'!$AD$72</f>
        <v>0</v>
      </c>
      <c r="G149" s="352">
        <f>'[1]12. Prostredie pre život'!$AE$72</f>
        <v>0</v>
      </c>
      <c r="H149" s="634">
        <f t="shared" si="57"/>
        <v>20849.71</v>
      </c>
      <c r="I149" s="635">
        <f>'[1]12. Prostredie pre život'!$AF$72</f>
        <v>20849.71</v>
      </c>
      <c r="J149" s="635">
        <f>'[1]12. Prostredie pre život'!$AG$72</f>
        <v>0</v>
      </c>
      <c r="K149" s="636">
        <f>'[1]12. Prostredie pre život'!$AH$72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56"/>
        <v>48000</v>
      </c>
      <c r="E150" s="257">
        <f>'[1]12. Prostredie pre život'!$AC$76</f>
        <v>38000</v>
      </c>
      <c r="F150" s="257">
        <f>'[1]12. Prostredie pre život'!$AD$76</f>
        <v>10000</v>
      </c>
      <c r="G150" s="352">
        <f>'[1]12. Prostredie pre život'!$AE$76</f>
        <v>0</v>
      </c>
      <c r="H150" s="634">
        <f t="shared" si="57"/>
        <v>14115.189999999999</v>
      </c>
      <c r="I150" s="635">
        <f>'[1]12. Prostredie pre život'!$AF$76</f>
        <v>14115.189999999999</v>
      </c>
      <c r="J150" s="635">
        <f>'[1]12. Prostredie pre život'!$AG$76</f>
        <v>0</v>
      </c>
      <c r="K150" s="636">
        <f>'[1]12. Prostredie pre život'!$AH$76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56"/>
        <v>0</v>
      </c>
      <c r="E151" s="266">
        <f>'[1]12. Prostredie pre život'!$AC$104</f>
        <v>0</v>
      </c>
      <c r="F151" s="266">
        <f>'[1]12. Prostredie pre život'!$AD$104</f>
        <v>0</v>
      </c>
      <c r="G151" s="572">
        <f>'[1]12. Prostredie pre život'!$AE$104</f>
        <v>0</v>
      </c>
      <c r="H151" s="637">
        <f t="shared" si="57"/>
        <v>0</v>
      </c>
      <c r="I151" s="638">
        <f>'[1]12. Prostredie pre život'!$AF$104</f>
        <v>0</v>
      </c>
      <c r="J151" s="638">
        <f>'[1]12. Prostredie pre život'!$AG$104</f>
        <v>0</v>
      </c>
      <c r="K151" s="639">
        <f>'[1]12. Prostredie pre život'!$AH$104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J152" si="58">D153+D157+D162+D167+D171+D172+D173+D175+D176+D177</f>
        <v>3081675</v>
      </c>
      <c r="E152" s="264">
        <f t="shared" si="58"/>
        <v>3048525</v>
      </c>
      <c r="F152" s="264">
        <f t="shared" si="58"/>
        <v>26000</v>
      </c>
      <c r="G152" s="351">
        <f t="shared" si="58"/>
        <v>7150</v>
      </c>
      <c r="H152" s="631">
        <f t="shared" si="58"/>
        <v>1701684.5399999998</v>
      </c>
      <c r="I152" s="632">
        <f t="shared" si="58"/>
        <v>1682208.7799999998</v>
      </c>
      <c r="J152" s="632">
        <f t="shared" si="58"/>
        <v>15981.96</v>
      </c>
      <c r="K152" s="633">
        <f>K153+K157+K162+K167+K171+K172+K173+K175+K176+K177</f>
        <v>3493.8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K153" si="59">SUM(D154:D156)</f>
        <v>48090</v>
      </c>
      <c r="E153" s="257">
        <f t="shared" si="59"/>
        <v>48090</v>
      </c>
      <c r="F153" s="257">
        <f t="shared" si="59"/>
        <v>0</v>
      </c>
      <c r="G153" s="352">
        <f t="shared" si="59"/>
        <v>0</v>
      </c>
      <c r="H153" s="634">
        <f t="shared" si="59"/>
        <v>22788</v>
      </c>
      <c r="I153" s="635">
        <f t="shared" si="59"/>
        <v>22788</v>
      </c>
      <c r="J153" s="635">
        <f t="shared" si="59"/>
        <v>0</v>
      </c>
      <c r="K153" s="636">
        <f t="shared" si="59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37090</v>
      </c>
      <c r="E154" s="257">
        <f>'[1]13. Sociálna starostlivosť'!$AC$5</f>
        <v>37090</v>
      </c>
      <c r="F154" s="257">
        <f>'[1]13. Sociálna starostlivosť'!$AD$5</f>
        <v>0</v>
      </c>
      <c r="G154" s="352">
        <f>'[1]13. Sociálna starostlivosť'!$AE$5</f>
        <v>0</v>
      </c>
      <c r="H154" s="634">
        <f>SUM(I154:K154)</f>
        <v>19488</v>
      </c>
      <c r="I154" s="635">
        <f>'[1]13. Sociálna starostlivosť'!$AF$5</f>
        <v>19488</v>
      </c>
      <c r="J154" s="635">
        <f>'[1]13. Sociálna starostlivosť'!$AG$5</f>
        <v>0</v>
      </c>
      <c r="K154" s="636">
        <f>'[1]13. Sociálna starostlivosť'!$AH$5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starostlivosť'!$AC$8</f>
        <v>0</v>
      </c>
      <c r="F155" s="257">
        <f>'[1]13. Sociálna starostlivosť'!$AD$8</f>
        <v>0</v>
      </c>
      <c r="G155" s="352">
        <f>'[1]13. Sociálna starostlivosť'!$AE$8</f>
        <v>0</v>
      </c>
      <c r="H155" s="634">
        <f>SUM(I155:K155)</f>
        <v>0</v>
      </c>
      <c r="I155" s="635">
        <f>'[1]13. Sociálna starostlivosť'!$AF$8</f>
        <v>0</v>
      </c>
      <c r="J155" s="635">
        <f>'[1]13. Sociálna starostlivosť'!$AG$8</f>
        <v>0</v>
      </c>
      <c r="K155" s="636">
        <f>'[1]13. Sociálna starostlivosť'!$AH$8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starostlivosť'!$AC$9</f>
        <v>11000</v>
      </c>
      <c r="F156" s="257">
        <f>'[1]13. Sociálna starostlivosť'!$AD$9</f>
        <v>0</v>
      </c>
      <c r="G156" s="352">
        <f>'[1]13. Sociálna starostlivosť'!$AE$9</f>
        <v>0</v>
      </c>
      <c r="H156" s="634">
        <f>SUM(I156:K156)</f>
        <v>3300</v>
      </c>
      <c r="I156" s="635">
        <f>'[1]13. Sociálna starostlivosť'!$AF$9</f>
        <v>3300</v>
      </c>
      <c r="J156" s="635">
        <f>'[1]13. Sociálna starostlivosť'!$AG$9</f>
        <v>0</v>
      </c>
      <c r="K156" s="636">
        <f>'[1]13. Sociálna starostlivosť'!$AH$9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K157" si="60">SUM(D158:D161)</f>
        <v>269180</v>
      </c>
      <c r="E157" s="257">
        <f t="shared" si="60"/>
        <v>253180</v>
      </c>
      <c r="F157" s="257">
        <f t="shared" si="60"/>
        <v>16000</v>
      </c>
      <c r="G157" s="352">
        <f t="shared" si="60"/>
        <v>0</v>
      </c>
      <c r="H157" s="634">
        <f t="shared" si="60"/>
        <v>178736.01</v>
      </c>
      <c r="I157" s="635">
        <f t="shared" si="60"/>
        <v>162754.04999999999</v>
      </c>
      <c r="J157" s="635">
        <f t="shared" si="60"/>
        <v>15981.96</v>
      </c>
      <c r="K157" s="636">
        <f t="shared" si="60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108220</v>
      </c>
      <c r="E158" s="257">
        <f>'[1]13. Sociálna starostlivosť'!$AC$17</f>
        <v>92220</v>
      </c>
      <c r="F158" s="257">
        <f>'[1]13. Sociálna starostlivosť'!$AD$17</f>
        <v>16000</v>
      </c>
      <c r="G158" s="352">
        <f>'[1]13. Sociálna starostlivosť'!$AE$17</f>
        <v>0</v>
      </c>
      <c r="H158" s="634">
        <f>SUM(I158:K158)</f>
        <v>108201.95999999999</v>
      </c>
      <c r="I158" s="635">
        <f>'[1]13. Sociálna starostlivosť'!$AF$17</f>
        <v>92220</v>
      </c>
      <c r="J158" s="635">
        <f>'[1]13. Sociálna starostlivosť'!$AG$17</f>
        <v>15981.96</v>
      </c>
      <c r="K158" s="636">
        <f>'[1]13. Sociálna starostlivosť'!$AH$17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38400</v>
      </c>
      <c r="E159" s="257">
        <f>'[1]13. Sociálna starostlivosť'!$AC$21</f>
        <v>38400</v>
      </c>
      <c r="F159" s="257">
        <f>'[1]13. Sociálna starostlivosť'!$AD$21</f>
        <v>0</v>
      </c>
      <c r="G159" s="352">
        <f>'[1]13. Sociálna starostlivosť'!$AE$21</f>
        <v>0</v>
      </c>
      <c r="H159" s="634">
        <f>SUM(I159:K159)</f>
        <v>16860</v>
      </c>
      <c r="I159" s="635">
        <f>'[1]13. Sociálna starostlivosť'!$AF$21</f>
        <v>16860</v>
      </c>
      <c r="J159" s="635">
        <f>'[1]13. Sociálna starostlivosť'!$AG$21</f>
        <v>0</v>
      </c>
      <c r="K159" s="636">
        <f>'[1]13. Sociálna starostlivosť'!$AH$21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starostlivosť'!$AC$24</f>
        <v>0</v>
      </c>
      <c r="F160" s="257">
        <f>'[1]13. Sociálna starostlivosť'!$AD$24</f>
        <v>0</v>
      </c>
      <c r="G160" s="352">
        <f>'[1]13. Sociálna starostlivosť'!$AE$24</f>
        <v>0</v>
      </c>
      <c r="H160" s="634">
        <f>SUM(I160:K160)</f>
        <v>0</v>
      </c>
      <c r="I160" s="635">
        <f>'[1]13. Sociálna starostlivosť'!$AF$24</f>
        <v>0</v>
      </c>
      <c r="J160" s="635">
        <f>'[1]13. Sociálna starostlivosť'!$AG$24</f>
        <v>0</v>
      </c>
      <c r="K160" s="636">
        <f>'[1]13. Sociálna starostlivosť'!$AH$24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122560</v>
      </c>
      <c r="E161" s="257">
        <f>'[1]13. Sociálna starostlivosť'!$AC$26</f>
        <v>122560</v>
      </c>
      <c r="F161" s="257">
        <f>'[1]13. Sociálna starostlivosť'!$AD$26</f>
        <v>0</v>
      </c>
      <c r="G161" s="352">
        <f>'[1]13. Sociálna starostlivosť'!$AE$26</f>
        <v>0</v>
      </c>
      <c r="H161" s="634">
        <f>SUM(I161:K161)</f>
        <v>53674.05</v>
      </c>
      <c r="I161" s="635">
        <f>'[1]13. Sociálna starostlivosť'!$AF$26</f>
        <v>53674.05</v>
      </c>
      <c r="J161" s="635">
        <f>'[1]13. Sociálna starostlivosť'!$AG$26</f>
        <v>0</v>
      </c>
      <c r="K161" s="636">
        <f>'[1]13. Sociálna starostlivosť'!$AH$26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K162" si="61">SUM(D163:D166)</f>
        <v>1824685</v>
      </c>
      <c r="E162" s="257">
        <f t="shared" si="61"/>
        <v>1814685</v>
      </c>
      <c r="F162" s="257">
        <f t="shared" si="61"/>
        <v>10000</v>
      </c>
      <c r="G162" s="352">
        <f t="shared" si="61"/>
        <v>0</v>
      </c>
      <c r="H162" s="634">
        <f t="shared" si="61"/>
        <v>894385.28</v>
      </c>
      <c r="I162" s="635">
        <f t="shared" si="61"/>
        <v>894385.28</v>
      </c>
      <c r="J162" s="635">
        <f t="shared" si="61"/>
        <v>0</v>
      </c>
      <c r="K162" s="636">
        <f t="shared" si="61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65740</v>
      </c>
      <c r="E163" s="257">
        <f>'[1]13. Sociálna starostlivosť'!$AC$30</f>
        <v>65740</v>
      </c>
      <c r="F163" s="257">
        <f>'[1]13. Sociálna starostlivosť'!$AD$30</f>
        <v>0</v>
      </c>
      <c r="G163" s="352">
        <f>'[1]13. Sociálna starostlivosť'!$AE$30</f>
        <v>0</v>
      </c>
      <c r="H163" s="634">
        <f>SUM(I163:K163)</f>
        <v>31640</v>
      </c>
      <c r="I163" s="635">
        <f>'[1]13. Sociálna starostlivosť'!$AF$30</f>
        <v>31640</v>
      </c>
      <c r="J163" s="635">
        <f>'[1]13. Sociálna starostlivosť'!$AG$30</f>
        <v>0</v>
      </c>
      <c r="K163" s="636">
        <f>'[1]13. Sociálna starostlivosť'!$AH$30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starostlivosť'!$AC$33</f>
        <v>0</v>
      </c>
      <c r="F164" s="257">
        <f>'[1]13. Sociálna starostlivosť'!$AD$33</f>
        <v>0</v>
      </c>
      <c r="G164" s="352">
        <f>'[1]13. Sociálna starostlivosť'!$AE$33</f>
        <v>0</v>
      </c>
      <c r="H164" s="634">
        <f>SUM(I164:K164)</f>
        <v>0</v>
      </c>
      <c r="I164" s="635">
        <f>'[1]13. Sociálna starostlivosť'!$AF$33</f>
        <v>0</v>
      </c>
      <c r="J164" s="635">
        <f>'[1]13. Sociálna starostlivosť'!$AG$33</f>
        <v>0</v>
      </c>
      <c r="K164" s="636">
        <f>'[1]13. Sociálna starostlivosť'!$AH$33</f>
        <v>0</v>
      </c>
    </row>
    <row r="165" spans="1:11" ht="15.75" x14ac:dyDescent="0.25">
      <c r="A165" s="125"/>
      <c r="B165" s="269">
        <v>3</v>
      </c>
      <c r="C165" s="270" t="s">
        <v>445</v>
      </c>
      <c r="D165" s="258">
        <f>SUM(E165:G165)</f>
        <v>1505505</v>
      </c>
      <c r="E165" s="257">
        <f>'[1]13. Sociálna starostlivosť'!$AC$35</f>
        <v>1495505</v>
      </c>
      <c r="F165" s="257">
        <f>'[1]13. Sociálna starostlivosť'!$AD$35</f>
        <v>10000</v>
      </c>
      <c r="G165" s="352">
        <f>'[1]13. Sociálna starostlivosť'!$AE$35</f>
        <v>0</v>
      </c>
      <c r="H165" s="634">
        <f>SUM(I165:K165)</f>
        <v>704106.08000000007</v>
      </c>
      <c r="I165" s="635">
        <f>'[1]13. Sociálna starostlivosť'!$AF$35</f>
        <v>704106.08000000007</v>
      </c>
      <c r="J165" s="635">
        <f>'[1]13. Sociálna starostlivosť'!$AG$35</f>
        <v>0</v>
      </c>
      <c r="K165" s="636">
        <f>'[1]13. Sociálna starostlivosť'!$AH$35</f>
        <v>0</v>
      </c>
    </row>
    <row r="166" spans="1:11" ht="15.75" x14ac:dyDescent="0.25">
      <c r="A166" s="125"/>
      <c r="B166" s="269">
        <v>4</v>
      </c>
      <c r="C166" s="270" t="s">
        <v>446</v>
      </c>
      <c r="D166" s="258">
        <f>SUM(E166:G166)</f>
        <v>253440</v>
      </c>
      <c r="E166" s="257">
        <f>'[1]13. Sociálna starostlivosť'!$AC$50</f>
        <v>253440</v>
      </c>
      <c r="F166" s="257">
        <f>'[1]13. Sociálna starostlivosť'!$AD$50</f>
        <v>0</v>
      </c>
      <c r="G166" s="352">
        <f>'[1]13. Sociálna starostlivosť'!$AE$50</f>
        <v>0</v>
      </c>
      <c r="H166" s="634">
        <f>SUM(I166:K166)</f>
        <v>158639.20000000001</v>
      </c>
      <c r="I166" s="635">
        <f>'[1]13. Sociálna starostlivosť'!$AF$50</f>
        <v>158639.20000000001</v>
      </c>
      <c r="J166" s="635">
        <f>'[1]13. Sociálna starostlivosť'!$AG$50</f>
        <v>0</v>
      </c>
      <c r="K166" s="636">
        <f>'[1]13. Sociálna starostlivosť'!$AH$50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K167" si="62">SUM(D168:D170)</f>
        <v>120560</v>
      </c>
      <c r="E167" s="257">
        <f t="shared" si="62"/>
        <v>120560</v>
      </c>
      <c r="F167" s="257">
        <f t="shared" si="62"/>
        <v>0</v>
      </c>
      <c r="G167" s="352">
        <f t="shared" si="62"/>
        <v>0</v>
      </c>
      <c r="H167" s="634">
        <f t="shared" si="62"/>
        <v>61778.16</v>
      </c>
      <c r="I167" s="635">
        <f t="shared" si="62"/>
        <v>61778.16</v>
      </c>
      <c r="J167" s="635">
        <f t="shared" si="62"/>
        <v>0</v>
      </c>
      <c r="K167" s="636">
        <f t="shared" si="62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44420</v>
      </c>
      <c r="E168" s="257">
        <f>'[1]13. Sociálna starostlivosť'!$AC$55</f>
        <v>44420</v>
      </c>
      <c r="F168" s="257">
        <f>'[1]13. Sociálna starostlivosť'!$AD$55</f>
        <v>0</v>
      </c>
      <c r="G168" s="352">
        <f>'[1]13. Sociálna starostlivosť'!$AE$55</f>
        <v>0</v>
      </c>
      <c r="H168" s="634">
        <f>SUM(I168:K168)</f>
        <v>22713.24</v>
      </c>
      <c r="I168" s="635">
        <f>'[1]13. Sociálna starostlivosť'!$AF$55</f>
        <v>22713.24</v>
      </c>
      <c r="J168" s="635">
        <f>'[1]13. Sociálna starostlivosť'!$AG$55</f>
        <v>0</v>
      </c>
      <c r="K168" s="636">
        <f>'[1]13. Sociálna starostlivosť'!$AH$55</f>
        <v>0</v>
      </c>
    </row>
    <row r="169" spans="1:11" ht="15.75" x14ac:dyDescent="0.25">
      <c r="B169" s="269">
        <v>2</v>
      </c>
      <c r="C169" s="270" t="s">
        <v>616</v>
      </c>
      <c r="D169" s="258">
        <f>SUM(E169:G169)</f>
        <v>4560</v>
      </c>
      <c r="E169" s="257">
        <f>'[1]13. Sociálna starostlivosť'!$AC$59</f>
        <v>4560</v>
      </c>
      <c r="F169" s="257">
        <f>'[1]13. Sociálna starostlivosť'!$AD$59</f>
        <v>0</v>
      </c>
      <c r="G169" s="352">
        <f>'[1]13. Sociálna starostlivosť'!$AE$59</f>
        <v>0</v>
      </c>
      <c r="H169" s="634">
        <f>SUM(I169:K169)</f>
        <v>3380</v>
      </c>
      <c r="I169" s="635">
        <f>'[1]13. Sociálna starostlivosť'!$AF$59</f>
        <v>3380</v>
      </c>
      <c r="J169" s="635">
        <f>'[1]13. Sociálna starostlivosť'!$AG$59</f>
        <v>0</v>
      </c>
      <c r="K169" s="636">
        <f>'[1]13. Sociálna starostlivosť'!$AH$59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71580</v>
      </c>
      <c r="E170" s="257">
        <f>'[1]13. Sociálna starostlivosť'!$AC$62</f>
        <v>71580</v>
      </c>
      <c r="F170" s="257">
        <f>'[1]13. Sociálna starostlivosť'!$AD$62</f>
        <v>0</v>
      </c>
      <c r="G170" s="352">
        <f>'[1]13. Sociálna starostlivosť'!$AE$62</f>
        <v>0</v>
      </c>
      <c r="H170" s="634">
        <f>SUM(I170:K170)</f>
        <v>35684.92</v>
      </c>
      <c r="I170" s="635">
        <f>'[1]13. Sociálna starostlivosť'!$AF$62</f>
        <v>35684.92</v>
      </c>
      <c r="J170" s="635">
        <f>'[1]13. Sociálna starostlivosť'!$AG$62</f>
        <v>0</v>
      </c>
      <c r="K170" s="636">
        <f>'[1]13. Sociálna starostlivosť'!$AH$62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8090</v>
      </c>
      <c r="E171" s="257">
        <f>'[1]13. Sociálna starostlivosť'!$AC$65</f>
        <v>8090</v>
      </c>
      <c r="F171" s="257">
        <f>'[1]13. Sociálna starostlivosť'!$AD$65</f>
        <v>0</v>
      </c>
      <c r="G171" s="352">
        <f>'[1]13. Sociálna starostlivosť'!$AE$65</f>
        <v>0</v>
      </c>
      <c r="H171" s="634">
        <f>SUM(I171:K171)</f>
        <v>4008</v>
      </c>
      <c r="I171" s="635">
        <f>'[1]13. Sociálna starostlivosť'!$AF$65</f>
        <v>4008</v>
      </c>
      <c r="J171" s="635">
        <f>'[1]13. Sociálna starostlivosť'!$AG$65</f>
        <v>0</v>
      </c>
      <c r="K171" s="636">
        <f>'[1]13. Sociálna starostlivosť'!$AH$65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starostlivosť'!$AC$67</f>
        <v>1000</v>
      </c>
      <c r="F172" s="257">
        <f>'[1]13. Sociálna starostlivosť'!$AD$67</f>
        <v>0</v>
      </c>
      <c r="G172" s="352">
        <f>'[1]13. Sociálna starostlivosť'!$AE$67</f>
        <v>0</v>
      </c>
      <c r="H172" s="634">
        <f>SUM(I172:K172)</f>
        <v>170.15</v>
      </c>
      <c r="I172" s="635">
        <f>'[1]13. Sociálna starostlivosť'!$AF$67</f>
        <v>170.15</v>
      </c>
      <c r="J172" s="635">
        <f>'[1]13. Sociálna starostlivosť'!$AG$67</f>
        <v>0</v>
      </c>
      <c r="K172" s="636">
        <f>'[1]13. Sociálna starostlivosť'!$AH$67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63">SUM(D174)</f>
        <v>45130</v>
      </c>
      <c r="E173" s="257">
        <f t="shared" si="63"/>
        <v>45130</v>
      </c>
      <c r="F173" s="257">
        <f t="shared" si="63"/>
        <v>0</v>
      </c>
      <c r="G173" s="352">
        <f t="shared" si="63"/>
        <v>0</v>
      </c>
      <c r="H173" s="634">
        <f t="shared" si="63"/>
        <v>0</v>
      </c>
      <c r="I173" s="635">
        <f t="shared" si="63"/>
        <v>0</v>
      </c>
      <c r="J173" s="635">
        <f t="shared" si="63"/>
        <v>0</v>
      </c>
      <c r="K173" s="636">
        <f t="shared" si="63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45130</v>
      </c>
      <c r="E174" s="257">
        <f>'[1]13. Sociálna starostlivosť'!$AC$79</f>
        <v>45130</v>
      </c>
      <c r="F174" s="257">
        <f>'[1]13. Sociálna starostlivosť'!$AD$79</f>
        <v>0</v>
      </c>
      <c r="G174" s="352">
        <f>'[1]13. Sociálna starostlivosť'!$AE$79</f>
        <v>0</v>
      </c>
      <c r="H174" s="634">
        <f>SUM(I174:K174)</f>
        <v>0</v>
      </c>
      <c r="I174" s="635">
        <f>'[1]13. Sociálna starostlivosť'!$AF$79</f>
        <v>0</v>
      </c>
      <c r="J174" s="635">
        <f>'[1]13. Sociálna starostlivosť'!$AG$79</f>
        <v>0</v>
      </c>
      <c r="K174" s="636">
        <f>'[1]13. Sociálna starostlivosť'!$AH$79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28000</v>
      </c>
      <c r="E175" s="257">
        <f>'[1]13. Sociálna starostlivosť'!$AC$104</f>
        <v>28000</v>
      </c>
      <c r="F175" s="257">
        <f>'[1]13. Sociálna starostlivosť'!$AD$104</f>
        <v>0</v>
      </c>
      <c r="G175" s="352">
        <f>'[1]13. Sociálna starostlivosť'!$AE$104</f>
        <v>0</v>
      </c>
      <c r="H175" s="634">
        <f>SUM(I175:K175)</f>
        <v>0</v>
      </c>
      <c r="I175" s="635">
        <f>'[1]13. Sociálna starostlivosť'!$AF$104</f>
        <v>0</v>
      </c>
      <c r="J175" s="635">
        <f>'[1]13. Sociálna starostlivosť'!$AG$104</f>
        <v>0</v>
      </c>
      <c r="K175" s="636">
        <f>'[1]13. Sociálna starostlivosť'!$AH$104</f>
        <v>0</v>
      </c>
    </row>
    <row r="176" spans="1:11" ht="15.75" x14ac:dyDescent="0.25">
      <c r="A176" s="124"/>
      <c r="B176" s="568" t="s">
        <v>610</v>
      </c>
      <c r="C176" s="569" t="s">
        <v>394</v>
      </c>
      <c r="D176" s="258">
        <f>SUM(E176:G176)</f>
        <v>157390</v>
      </c>
      <c r="E176" s="257">
        <f>'[1]13. Sociálna starostlivosť'!$AC$106</f>
        <v>157390</v>
      </c>
      <c r="F176" s="257">
        <f>'[1]13. Sociálna starostlivosť'!$AD$106</f>
        <v>0</v>
      </c>
      <c r="G176" s="352">
        <f>'[1]13. Sociálna starostlivosť'!$AE$106</f>
        <v>0</v>
      </c>
      <c r="H176" s="634">
        <f>SUM(I176:K176)</f>
        <v>93215.14</v>
      </c>
      <c r="I176" s="635">
        <f>'[1]13. Sociálna starostlivosť'!$AF$106</f>
        <v>93215.14</v>
      </c>
      <c r="J176" s="635">
        <f>'[1]13. Sociálna starostlivosť'!$AG$106</f>
        <v>0</v>
      </c>
      <c r="K176" s="636">
        <f>'[1]13. Sociálna starostlivosť'!$AH$106</f>
        <v>0</v>
      </c>
    </row>
    <row r="177" spans="1:11" ht="16.5" thickBot="1" x14ac:dyDescent="0.3">
      <c r="A177" s="124"/>
      <c r="B177" s="283" t="s">
        <v>609</v>
      </c>
      <c r="C177" s="359" t="s">
        <v>611</v>
      </c>
      <c r="D177" s="258">
        <f>SUM(E177:G177)</f>
        <v>579550</v>
      </c>
      <c r="E177" s="257">
        <f>'[1]13. Sociálna starostlivosť'!$AC$112</f>
        <v>572400</v>
      </c>
      <c r="F177" s="257">
        <f>'[1]13. Sociálna starostlivosť'!$AD$112</f>
        <v>0</v>
      </c>
      <c r="G177" s="352">
        <f>'[1]13. Sociálna starostlivosť'!$AE$112</f>
        <v>7150</v>
      </c>
      <c r="H177" s="634">
        <f>SUM(I177:K177)</f>
        <v>446603.8</v>
      </c>
      <c r="I177" s="635">
        <f>'[1]13. Sociálna starostlivosť'!$AF$112</f>
        <v>443110</v>
      </c>
      <c r="J177" s="635">
        <f>'[1]13. Sociálna starostlivosť'!$AG$112</f>
        <v>0</v>
      </c>
      <c r="K177" s="636">
        <f>'[1]13. Sociálna starostlivosť'!$AH$112</f>
        <v>3493.8</v>
      </c>
    </row>
    <row r="178" spans="1:11" s="123" customFormat="1" ht="17.25" thickBot="1" x14ac:dyDescent="0.35">
      <c r="A178" s="125"/>
      <c r="B178" s="296" t="s">
        <v>372</v>
      </c>
      <c r="C178" s="297"/>
      <c r="D178" s="564">
        <f>SUM(E178:G178)</f>
        <v>889250</v>
      </c>
      <c r="E178" s="565">
        <f>'[1]14. Bývanie'!$AC$24</f>
        <v>676305</v>
      </c>
      <c r="F178" s="565">
        <f>'[1]14. Bývanie'!$AD$24</f>
        <v>0</v>
      </c>
      <c r="G178" s="571">
        <f>'[1]14. Bývanie'!$AE$24</f>
        <v>212945</v>
      </c>
      <c r="H178" s="642">
        <f>SUM(I178:K178)</f>
        <v>344372.59</v>
      </c>
      <c r="I178" s="643">
        <f>'[1]14. Bývanie'!$AF$24</f>
        <v>234264.24000000002</v>
      </c>
      <c r="J178" s="643">
        <f>'[1]14. Bývanie'!$AG$24</f>
        <v>0</v>
      </c>
      <c r="K178" s="644">
        <f>'[1]14. Bývanie'!$AH$24</f>
        <v>110108.34999999999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K179" si="64">SUM(D180:D182)</f>
        <v>8021593</v>
      </c>
      <c r="E179" s="264">
        <f t="shared" si="64"/>
        <v>2841011</v>
      </c>
      <c r="F179" s="264">
        <f t="shared" si="64"/>
        <v>52732</v>
      </c>
      <c r="G179" s="351">
        <f t="shared" si="64"/>
        <v>5127850</v>
      </c>
      <c r="H179" s="631">
        <f t="shared" si="64"/>
        <v>3220618.8599999994</v>
      </c>
      <c r="I179" s="632">
        <f t="shared" si="64"/>
        <v>1424579.4299999995</v>
      </c>
      <c r="J179" s="632">
        <f t="shared" si="64"/>
        <v>0</v>
      </c>
      <c r="K179" s="633">
        <f t="shared" si="64"/>
        <v>1796039.43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2554112</v>
      </c>
      <c r="E180" s="257">
        <f>'[1]15. Administratíva'!$AC$4</f>
        <v>2501380</v>
      </c>
      <c r="F180" s="257">
        <f>'[1]15. Administratíva'!$AD$4</f>
        <v>52732</v>
      </c>
      <c r="G180" s="352">
        <f>'[1]15. Administratíva'!$AE$4</f>
        <v>0</v>
      </c>
      <c r="H180" s="634">
        <f>SUM(I180:K180)</f>
        <v>1260314.8899999994</v>
      </c>
      <c r="I180" s="635">
        <f>'[1]15. Administratíva'!$AF$4</f>
        <v>1260314.8899999994</v>
      </c>
      <c r="J180" s="635">
        <f>'[1]15. Administratíva'!$AG$4</f>
        <v>0</v>
      </c>
      <c r="K180" s="636">
        <f>'[1]15. Administratíva'!$AH$4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Administratíva'!$AC$102</f>
        <v>0</v>
      </c>
      <c r="F181" s="257">
        <f>'[1]15. Administratíva'!$AD$102</f>
        <v>0</v>
      </c>
      <c r="G181" s="352">
        <f>'[1]15. Administratíva'!$AE$102</f>
        <v>0</v>
      </c>
      <c r="H181" s="634">
        <f>SUM(I181:K181)</f>
        <v>0</v>
      </c>
      <c r="I181" s="635">
        <f>'[1]15. Administratíva'!$AF$102</f>
        <v>0</v>
      </c>
      <c r="J181" s="635">
        <f>'[1]15. Administratíva'!$AG$102</f>
        <v>0</v>
      </c>
      <c r="K181" s="636">
        <f>'[1]15. Administratíva'!$AH$102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5467481</v>
      </c>
      <c r="E182" s="346">
        <f>'[1]15. Administratíva'!$AC$103</f>
        <v>339631</v>
      </c>
      <c r="F182" s="262">
        <f>'[1]15. Administratíva'!$AD$103</f>
        <v>0</v>
      </c>
      <c r="G182" s="574">
        <f>'[1]15. Administratíva'!$AE$103</f>
        <v>5127850</v>
      </c>
      <c r="H182" s="645">
        <f>SUM(I182:K182)</f>
        <v>1960303.97</v>
      </c>
      <c r="I182" s="646">
        <f>'[1]15. Administratíva'!$AF$103</f>
        <v>164264.54</v>
      </c>
      <c r="J182" s="646">
        <f>'[1]15. Administratíva'!$AG$103</f>
        <v>0</v>
      </c>
      <c r="K182" s="647">
        <f>'[1]15. Administratíva'!$AH$103</f>
        <v>1796039.43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B1:K2"/>
    <mergeCell ref="D3:G4"/>
    <mergeCell ref="H3:K4"/>
    <mergeCell ref="B4:C5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17" t="s">
        <v>393</v>
      </c>
      <c r="B1" s="717"/>
      <c r="C1" s="717"/>
      <c r="D1" s="717"/>
      <c r="E1" s="717"/>
      <c r="F1" s="717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23" t="s">
        <v>132</v>
      </c>
      <c r="E5" s="723"/>
      <c r="F5" s="723"/>
      <c r="G5" s="723"/>
      <c r="H5" s="724" t="s">
        <v>133</v>
      </c>
      <c r="I5" s="724"/>
      <c r="J5" s="724"/>
      <c r="K5" s="724"/>
      <c r="L5" s="718" t="s">
        <v>2</v>
      </c>
      <c r="M5" s="718"/>
      <c r="N5" s="718"/>
      <c r="O5" s="718"/>
      <c r="P5" s="718" t="s">
        <v>391</v>
      </c>
      <c r="Q5" s="718"/>
      <c r="R5" s="718"/>
      <c r="S5" s="718"/>
      <c r="T5" s="718" t="s">
        <v>387</v>
      </c>
      <c r="U5" s="718"/>
      <c r="V5" s="718"/>
      <c r="W5" s="718"/>
    </row>
    <row r="6" spans="1:23" ht="12.75" customHeight="1" thickBot="1" x14ac:dyDescent="0.25">
      <c r="A6" s="61"/>
      <c r="B6" s="720" t="s">
        <v>134</v>
      </c>
      <c r="C6" s="720"/>
      <c r="D6" s="129" t="s">
        <v>135</v>
      </c>
      <c r="E6" s="721" t="s">
        <v>136</v>
      </c>
      <c r="F6" s="721"/>
      <c r="G6" s="721"/>
      <c r="H6" s="129" t="s">
        <v>135</v>
      </c>
      <c r="I6" s="722" t="s">
        <v>137</v>
      </c>
      <c r="J6" s="722"/>
      <c r="K6" s="722"/>
      <c r="L6" s="130" t="s">
        <v>135</v>
      </c>
      <c r="M6" s="719" t="s">
        <v>138</v>
      </c>
      <c r="N6" s="719"/>
      <c r="O6" s="719"/>
      <c r="P6" s="130" t="s">
        <v>135</v>
      </c>
      <c r="Q6" s="719" t="s">
        <v>138</v>
      </c>
      <c r="R6" s="719"/>
      <c r="S6" s="719"/>
      <c r="T6" s="130" t="s">
        <v>135</v>
      </c>
      <c r="U6" s="719" t="s">
        <v>139</v>
      </c>
      <c r="V6" s="719"/>
      <c r="W6" s="719"/>
    </row>
    <row r="7" spans="1:23" ht="24.75" thickBot="1" x14ac:dyDescent="0.25">
      <c r="A7" s="61"/>
      <c r="B7" s="720"/>
      <c r="C7" s="720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'[3]1.Plánovanie, manažment a kontr'!#REF!</f>
        <v>#REF!</v>
      </c>
      <c r="N12" s="73" t="e">
        <f>'[3]1.Plánovanie, manažment a kontr'!#REF!</f>
        <v>#REF!</v>
      </c>
      <c r="O12" s="75" t="e">
        <f>'[3]1.Plánovanie,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'[3]1.Plánovanie, manažment a kontr'!$H$5</f>
        <v>39379</v>
      </c>
      <c r="V12" s="73">
        <f>'[3]1.Plánovanie, manažment a kontr'!$I$5</f>
        <v>0</v>
      </c>
      <c r="W12" s="75">
        <f>'[3]1.Plánovanie,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'[3]1.Plánovanie, manažment a kontr'!#REF!</f>
        <v>#REF!</v>
      </c>
      <c r="N13" s="73" t="e">
        <f>'[3]1.Plánovanie, manažment a kontr'!#REF!</f>
        <v>#REF!</v>
      </c>
      <c r="O13" s="75" t="e">
        <f>'[3]1.Plánovanie,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'[3]1.Plánovanie, manažment a kontr'!$H$16</f>
        <v>26321</v>
      </c>
      <c r="V13" s="73">
        <f>'[3]1.Plánovanie, manažment a kontr'!$I$16</f>
        <v>0</v>
      </c>
      <c r="W13" s="75">
        <f>'[3]1.Plánovanie,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'[3]1.Plánovanie, manažment a kontr'!#REF!</f>
        <v>#REF!</v>
      </c>
      <c r="N14" s="73" t="e">
        <f>'[3]1.Plánovanie, manažment a kontr'!#REF!</f>
        <v>#REF!</v>
      </c>
      <c r="O14" s="75" t="e">
        <f>'[3]1.Plánovanie,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'[3]1.Plánovanie, manažment a kontr'!$H$27</f>
        <v>34932</v>
      </c>
      <c r="V14" s="73">
        <f>'[3]1.Plánovanie, manažment a kontr'!$I$27</f>
        <v>0</v>
      </c>
      <c r="W14" s="75">
        <f>'[3]1.Plánovanie,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'[3]1.Plánovanie, manažment a kontr'!#REF!</f>
        <v>#REF!</v>
      </c>
      <c r="N15" s="73" t="e">
        <f>'[3]1.Plánovanie, manažment a kontr'!#REF!</f>
        <v>#REF!</v>
      </c>
      <c r="O15" s="75" t="e">
        <f>'[3]1.Plánovanie,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'[3]1.Plánovanie, manažment a kontr'!$H$31</f>
        <v>0</v>
      </c>
      <c r="V15" s="73">
        <f>'[3]1.Plánovanie, manažment a kontr'!$I$31</f>
        <v>0</v>
      </c>
      <c r="W15" s="75">
        <f>'[3]1.Plánovanie,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'[3]1.Plánovanie, manažment a kontr'!#REF!</f>
        <v>#REF!</v>
      </c>
      <c r="N17" s="73" t="e">
        <f>'[3]1.Plánovanie, manažment a kontr'!#REF!</f>
        <v>#REF!</v>
      </c>
      <c r="O17" s="75" t="e">
        <f>'[3]1.Plánovanie,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'[3]1.Plánovanie, manažment a kontr'!$H$35</f>
        <v>2046</v>
      </c>
      <c r="V17" s="73">
        <f>'[3]1.Plánovanie, manažment a kontr'!$I$35</f>
        <v>0</v>
      </c>
      <c r="W17" s="75">
        <f>'[3]1.Plánovanie,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'[3]1.Plánovanie, manažment a kontr'!#REF!</f>
        <v>#REF!</v>
      </c>
      <c r="N18" s="73" t="e">
        <f>'[3]1.Plánovanie, manažment a kontr'!#REF!</f>
        <v>#REF!</v>
      </c>
      <c r="O18" s="75" t="e">
        <f>'[3]1.Plánovanie,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'[3]1.Plánovanie, manažment a kontr'!$H$47</f>
        <v>10904</v>
      </c>
      <c r="V18" s="73">
        <f>'[3]1.Plánovanie, manažment a kontr'!$I$47</f>
        <v>0</v>
      </c>
      <c r="W18" s="75">
        <f>'[3]1.Plánovanie,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'[3]1.Plánovanie, manažment a kontr'!#REF!</f>
        <v>#REF!</v>
      </c>
      <c r="N19" s="73" t="e">
        <f>'[3]1.Plánovanie, manažment a kontr'!#REF!</f>
        <v>#REF!</v>
      </c>
      <c r="O19" s="75" t="e">
        <f>'[3]1.Plánovanie,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'[3]1.Plánovanie, manažment a kontr'!$H$50</f>
        <v>9650</v>
      </c>
      <c r="V19" s="73">
        <f>'[3]1.Plánovanie, manažment a kontr'!$I$50</f>
        <v>22568</v>
      </c>
      <c r="W19" s="75">
        <f>'[3]1.Plánovanie,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'[3]1.Plánovanie, manažment a kontr'!#REF!</f>
        <v>#REF!</v>
      </c>
      <c r="N20" s="172" t="e">
        <f>'[3]1.Plánovanie, manažment a kontr'!#REF!</f>
        <v>#REF!</v>
      </c>
      <c r="O20" s="174" t="e">
        <f>'[3]1.Plánovanie,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'[3]1.Plánovanie, manažment a kontr'!$H$62</f>
        <v>44354</v>
      </c>
      <c r="V20" s="172">
        <f>'[3]1.Plánovanie, manažment a kontr'!$I$62</f>
        <v>0</v>
      </c>
      <c r="W20" s="174">
        <f>'[3]1.Plánovanie,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'[3]1.Plánovanie, manažment a kontr'!#REF!</f>
        <v>#REF!</v>
      </c>
      <c r="N21" s="172" t="e">
        <f>'[3]1.Plánovanie, manažment a kontr'!#REF!</f>
        <v>#REF!</v>
      </c>
      <c r="O21" s="174" t="e">
        <f>'[3]1.Plánovanie,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'[3]1.Plánovanie, manažment a kontr'!$H$72</f>
        <v>3600</v>
      </c>
      <c r="V21" s="172">
        <f>'[3]1.Plánovanie, manažment a kontr'!$I$72</f>
        <v>0</v>
      </c>
      <c r="W21" s="174">
        <f>'[3]1.Plánovanie,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'[3]1.Plánovanie, manažment a kontr'!#REF!</f>
        <v>#REF!</v>
      </c>
      <c r="N22" s="172" t="e">
        <f>'[3]1.Plánovanie, manažment a kontr'!#REF!</f>
        <v>#REF!</v>
      </c>
      <c r="O22" s="174" t="e">
        <f>'[3]1.Plánovanie,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'[3]1.Plánovanie, manažment a kontr'!$H$75</f>
        <v>8366</v>
      </c>
      <c r="V22" s="172">
        <f>'[3]1.Plánovanie, manažment a kontr'!$I$75</f>
        <v>0</v>
      </c>
      <c r="W22" s="174">
        <f>'[3]1.Plánovanie,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'[3]1.Plánovanie, manažment a kontr'!#REF!</f>
        <v>#REF!</v>
      </c>
      <c r="N23" s="181" t="e">
        <f>'[3]1.Plánovanie, manažment a kontr'!#REF!</f>
        <v>#REF!</v>
      </c>
      <c r="O23" s="182" t="e">
        <f>'[3]1.Plánovanie,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'[3]1.Plánovanie, manažment a kontr'!$H$79</f>
        <v>0</v>
      </c>
      <c r="V23" s="181">
        <f>'[3]1.Plánovanie, manažment a kontr'!$I$79</f>
        <v>0</v>
      </c>
      <c r="W23" s="182">
        <f>'[3]1.Plánovanie,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'[3]2. Propagácia a marketing'!#REF!</f>
        <v>#REF!</v>
      </c>
      <c r="G26" s="74" t="e">
        <f>'[3]2.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'[3]2. Propagácia a marketing'!#REF!</f>
        <v>#REF!</v>
      </c>
      <c r="K26" s="75" t="e">
        <f>'[3]2. Propagácia a marketing'!#REF!</f>
        <v>#REF!</v>
      </c>
      <c r="L26" s="76" t="e">
        <f t="shared" ref="L26:L33" si="11">SUM(M26:O26)</f>
        <v>#REF!</v>
      </c>
      <c r="M26" s="73" t="e">
        <f>'[3]2. Propagácia a marketing'!#REF!</f>
        <v>#REF!</v>
      </c>
      <c r="N26" s="73" t="e">
        <f>'[3]2. Propagácia a marketing'!#REF!</f>
        <v>#REF!</v>
      </c>
      <c r="O26" s="75" t="e">
        <f>'[3]2.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'[3]2. Propagácia a marketing'!$H$5</f>
        <v>130</v>
      </c>
      <c r="V26" s="73">
        <f>'[3]2. Propagácia a marketing'!$I$5</f>
        <v>0</v>
      </c>
      <c r="W26" s="75">
        <f>'[3]2.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'[3]2. Propagácia a marketing'!#REF!</f>
        <v>#REF!</v>
      </c>
      <c r="G27" s="74" t="e">
        <f>'[3]2. Propagácia a marketing'!#REF!</f>
        <v>#REF!</v>
      </c>
      <c r="H27" s="72" t="e">
        <f t="shared" si="10"/>
        <v>#REF!</v>
      </c>
      <c r="I27" s="73">
        <v>239</v>
      </c>
      <c r="J27" s="73" t="e">
        <f>'[3]2. Propagácia a marketing'!#REF!</f>
        <v>#REF!</v>
      </c>
      <c r="K27" s="75" t="e">
        <f>'[3]2. Propagácia a marketing'!#REF!</f>
        <v>#REF!</v>
      </c>
      <c r="L27" s="76" t="e">
        <f t="shared" si="11"/>
        <v>#REF!</v>
      </c>
      <c r="M27" s="73" t="e">
        <f>'[3]2. Propagácia a marketing'!#REF!</f>
        <v>#REF!</v>
      </c>
      <c r="N27" s="73" t="e">
        <f>'[3]2. Propagácia a marketing'!#REF!</f>
        <v>#REF!</v>
      </c>
      <c r="O27" s="75" t="e">
        <f>'[3]2.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'[3]2. Propagácia a marketing'!$H$7</f>
        <v>1000</v>
      </c>
      <c r="V27" s="73">
        <f>'[3]2. Propagácia a marketing'!$I$7</f>
        <v>0</v>
      </c>
      <c r="W27" s="75">
        <f>'[3]2.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'[3]2. Propagácia a marketing'!#REF!</f>
        <v>#REF!</v>
      </c>
      <c r="G28" s="74" t="e">
        <f>'[3]2. Propagácia a marketing'!#REF!</f>
        <v>#REF!</v>
      </c>
      <c r="H28" s="72" t="e">
        <f t="shared" si="10"/>
        <v>#REF!</v>
      </c>
      <c r="I28" s="73">
        <v>1669</v>
      </c>
      <c r="J28" s="73" t="e">
        <f>'[3]2. Propagácia a marketing'!#REF!</f>
        <v>#REF!</v>
      </c>
      <c r="K28" s="75" t="e">
        <f>'[3]2. Propagácia a marketing'!#REF!</f>
        <v>#REF!</v>
      </c>
      <c r="L28" s="76" t="e">
        <f t="shared" si="11"/>
        <v>#REF!</v>
      </c>
      <c r="M28" s="73" t="e">
        <f>'[3]2. Propagácia a marketing'!#REF!</f>
        <v>#REF!</v>
      </c>
      <c r="N28" s="73" t="e">
        <f>'[3]2. Propagácia a marketing'!#REF!</f>
        <v>#REF!</v>
      </c>
      <c r="O28" s="75" t="e">
        <f>'[3]2.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'[3]2. Propagácia a marketing'!$H$11</f>
        <v>5765</v>
      </c>
      <c r="V28" s="73">
        <f>'[3]2. Propagácia a marketing'!$I$11</f>
        <v>0</v>
      </c>
      <c r="W28" s="75">
        <f>'[3]2.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'[3]2. Propagácia a marketing'!#REF!</f>
        <v>#REF!</v>
      </c>
      <c r="G29" s="74" t="e">
        <f>'[3]2. Propagácia a marketing'!#REF!</f>
        <v>#REF!</v>
      </c>
      <c r="H29" s="72" t="e">
        <f t="shared" si="10"/>
        <v>#REF!</v>
      </c>
      <c r="I29" s="73">
        <v>2024</v>
      </c>
      <c r="J29" s="73" t="e">
        <f>'[3]2. Propagácia a marketing'!#REF!</f>
        <v>#REF!</v>
      </c>
      <c r="K29" s="75" t="e">
        <f>'[3]2. Propagácia a marketing'!#REF!</f>
        <v>#REF!</v>
      </c>
      <c r="L29" s="76" t="e">
        <f t="shared" si="11"/>
        <v>#REF!</v>
      </c>
      <c r="M29" s="73" t="e">
        <f>'[3]2. Propagácia a marketing'!#REF!</f>
        <v>#REF!</v>
      </c>
      <c r="N29" s="73" t="e">
        <f>'[3]2. Propagácia a marketing'!#REF!</f>
        <v>#REF!</v>
      </c>
      <c r="O29" s="75" t="e">
        <f>'[3]2.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'[3]2. Propagácia a marketing'!$H$19</f>
        <v>1000</v>
      </c>
      <c r="V29" s="73">
        <f>'[3]2. Propagácia a marketing'!$I$19</f>
        <v>0</v>
      </c>
      <c r="W29" s="75">
        <f>'[3]2.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'[3]2. Propagácia a marketing'!#REF!</f>
        <v>#REF!</v>
      </c>
      <c r="G30" s="74" t="e">
        <f>'[3]2. Propagácia a marketing'!#REF!</f>
        <v>#REF!</v>
      </c>
      <c r="H30" s="72" t="e">
        <f t="shared" si="10"/>
        <v>#REF!</v>
      </c>
      <c r="I30" s="73">
        <v>764</v>
      </c>
      <c r="J30" s="73" t="e">
        <f>'[3]2. Propagácia a marketing'!#REF!</f>
        <v>#REF!</v>
      </c>
      <c r="K30" s="75" t="e">
        <f>'[3]2. Propagácia a marketing'!#REF!</f>
        <v>#REF!</v>
      </c>
      <c r="L30" s="76" t="e">
        <f t="shared" si="11"/>
        <v>#REF!</v>
      </c>
      <c r="M30" s="73" t="e">
        <f>'[3]2. Propagácia a marketing'!#REF!</f>
        <v>#REF!</v>
      </c>
      <c r="N30" s="73" t="e">
        <f>'[3]2. Propagácia a marketing'!#REF!</f>
        <v>#REF!</v>
      </c>
      <c r="O30" s="75" t="e">
        <f>'[3]2.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'[3]2. Propagácia a marketing'!$H$21</f>
        <v>0</v>
      </c>
      <c r="V30" s="73">
        <f>'[3]2. Propagácia a marketing'!$I$21</f>
        <v>0</v>
      </c>
      <c r="W30" s="75">
        <f>'[3]2.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'[3]2. Propagácia a marketing'!#REF!</f>
        <v>#REF!</v>
      </c>
      <c r="G31" s="74" t="e">
        <f>'[3]2. Propagácia a marketing'!#REF!</f>
        <v>#REF!</v>
      </c>
      <c r="H31" s="72" t="e">
        <f t="shared" si="10"/>
        <v>#REF!</v>
      </c>
      <c r="I31" s="73">
        <v>1363</v>
      </c>
      <c r="J31" s="73" t="e">
        <f>'[3]2. Propagácia a marketing'!#REF!</f>
        <v>#REF!</v>
      </c>
      <c r="K31" s="75" t="e">
        <f>'[3]2. Propagácia a marketing'!#REF!</f>
        <v>#REF!</v>
      </c>
      <c r="L31" s="76" t="e">
        <f t="shared" si="11"/>
        <v>#REF!</v>
      </c>
      <c r="M31" s="73" t="e">
        <f>'[3]2. Propagácia a marketing'!#REF!</f>
        <v>#REF!</v>
      </c>
      <c r="N31" s="73" t="e">
        <f>'[3]2. Propagácia a marketing'!#REF!</f>
        <v>#REF!</v>
      </c>
      <c r="O31" s="75" t="e">
        <f>'[3]2.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'[3]2. Propagácia a marketing'!$H$24</f>
        <v>0</v>
      </c>
      <c r="V31" s="73">
        <f>'[3]2. Propagácia a marketing'!$I$24</f>
        <v>0</v>
      </c>
      <c r="W31" s="75">
        <f>'[3]2.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'[3]2. Propagácia a marketing'!#REF!</f>
        <v>#REF!</v>
      </c>
      <c r="G32" s="74" t="e">
        <f>'[3]2. Propagácia a marketing'!#REF!</f>
        <v>#REF!</v>
      </c>
      <c r="H32" s="72" t="e">
        <f t="shared" si="10"/>
        <v>#REF!</v>
      </c>
      <c r="I32" s="73">
        <v>1530</v>
      </c>
      <c r="J32" s="73" t="e">
        <f>'[3]2. Propagácia a marketing'!#REF!</f>
        <v>#REF!</v>
      </c>
      <c r="K32" s="75" t="e">
        <f>'[3]2. Propagácia a marketing'!#REF!</f>
        <v>#REF!</v>
      </c>
      <c r="L32" s="76" t="e">
        <f t="shared" si="11"/>
        <v>#REF!</v>
      </c>
      <c r="M32" s="73" t="e">
        <f>'[3]2. Propagácia a marketing'!#REF!</f>
        <v>#REF!</v>
      </c>
      <c r="N32" s="73" t="e">
        <f>'[3]2. Propagácia a marketing'!#REF!</f>
        <v>#REF!</v>
      </c>
      <c r="O32" s="75" t="e">
        <f>'[3]2.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'[3]2. Propagácia a marketing'!$H$26</f>
        <v>1480</v>
      </c>
      <c r="V32" s="73">
        <f>'[3]2. Propagácia a marketing'!$I$26</f>
        <v>0</v>
      </c>
      <c r="W32" s="75">
        <f>'[3]2.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'[3]2. Propagácia a marketing'!#REF!</f>
        <v>#REF!</v>
      </c>
      <c r="G33" s="74" t="e">
        <f>'[3]2. Propagácia a marketing'!#REF!</f>
        <v>#REF!</v>
      </c>
      <c r="H33" s="72" t="e">
        <f t="shared" si="10"/>
        <v>#REF!</v>
      </c>
      <c r="I33" s="73">
        <v>0</v>
      </c>
      <c r="J33" s="73" t="e">
        <f>'[3]2. Propagácia a marketing'!#REF!</f>
        <v>#REF!</v>
      </c>
      <c r="K33" s="75" t="e">
        <f>'[3]2. Propagácia a marketing'!#REF!</f>
        <v>#REF!</v>
      </c>
      <c r="L33" s="76" t="e">
        <f t="shared" si="11"/>
        <v>#REF!</v>
      </c>
      <c r="M33" s="73" t="e">
        <f>'[3]2. Propagácia a marketing'!#REF!</f>
        <v>#REF!</v>
      </c>
      <c r="N33" s="73" t="e">
        <f>'[3]2. Propagácia a marketing'!#REF!</f>
        <v>#REF!</v>
      </c>
      <c r="O33" s="75" t="e">
        <f>'[3]2.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'[3]2. Propagácia a marketing'!$H$28</f>
        <v>0</v>
      </c>
      <c r="V33" s="73">
        <f>'[3]2. Propagácia a marketing'!$I$28</f>
        <v>0</v>
      </c>
      <c r="W33" s="75">
        <f>'[3]2.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'[3]2. Propagácia a marketing'!#REF!</f>
        <v>#REF!</v>
      </c>
      <c r="G35" s="74" t="e">
        <f>'[3]2. Propagácia a marketing'!#REF!</f>
        <v>#REF!</v>
      </c>
      <c r="H35" s="72" t="e">
        <f>SUM(I35:K35)</f>
        <v>#REF!</v>
      </c>
      <c r="I35" s="73">
        <v>9757</v>
      </c>
      <c r="J35" s="73" t="e">
        <f>'[3]2. Propagácia a marketing'!#REF!</f>
        <v>#REF!</v>
      </c>
      <c r="K35" s="75" t="e">
        <f>'[3]2. Propagácia a marketing'!#REF!</f>
        <v>#REF!</v>
      </c>
      <c r="L35" s="76" t="e">
        <f>SUM(M35:O35)</f>
        <v>#REF!</v>
      </c>
      <c r="M35" s="73" t="e">
        <f>'[3]2. Propagácia a marketing'!#REF!</f>
        <v>#REF!</v>
      </c>
      <c r="N35" s="73" t="e">
        <f>'[3]2. Propagácia a marketing'!#REF!</f>
        <v>#REF!</v>
      </c>
      <c r="O35" s="75" t="e">
        <f>'[3]2.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'[3]2. Propagácia a marketing'!$H$32</f>
        <v>3580</v>
      </c>
      <c r="V35" s="73">
        <f>'[3]2. Propagácia a marketing'!$I$32</f>
        <v>0</v>
      </c>
      <c r="W35" s="75">
        <f>'[3]2.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'[3]2. Propagácia a marketing'!#REF!</f>
        <v>#REF!</v>
      </c>
      <c r="G36" s="74" t="e">
        <f>'[3]2. Propagácia a marketing'!#REF!</f>
        <v>#REF!</v>
      </c>
      <c r="H36" s="72" t="e">
        <f>SUM(I36:K36)</f>
        <v>#REF!</v>
      </c>
      <c r="I36" s="73">
        <v>1807</v>
      </c>
      <c r="J36" s="73" t="e">
        <f>'[3]2. Propagácia a marketing'!#REF!</f>
        <v>#REF!</v>
      </c>
      <c r="K36" s="75" t="e">
        <f>'[3]2. Propagácia a marketing'!#REF!</f>
        <v>#REF!</v>
      </c>
      <c r="L36" s="76" t="e">
        <f>SUM(M36:O36)</f>
        <v>#REF!</v>
      </c>
      <c r="M36" s="73" t="e">
        <f>'[3]2. Propagácia a marketing'!#REF!</f>
        <v>#REF!</v>
      </c>
      <c r="N36" s="73" t="e">
        <f>'[3]2. Propagácia a marketing'!#REF!</f>
        <v>#REF!</v>
      </c>
      <c r="O36" s="75" t="e">
        <f>'[3]2.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'[3]2. Propagácia a marketing'!$H$54</f>
        <v>570</v>
      </c>
      <c r="V36" s="73" t="e">
        <f>'[3]2. Propagácia a marketing'!$I$54</f>
        <v>#REF!</v>
      </c>
      <c r="W36" s="75" t="e">
        <f>'[3]2.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'[3]2. Propagácia a marketing'!#REF!</f>
        <v>#REF!</v>
      </c>
      <c r="G37" s="180" t="e">
        <f>'[3]2. Propagácia a marketing'!#REF!</f>
        <v>#REF!</v>
      </c>
      <c r="H37" s="186" t="e">
        <f>SUM(I37:K37)</f>
        <v>#REF!</v>
      </c>
      <c r="I37" s="181">
        <v>4354</v>
      </c>
      <c r="J37" s="181" t="e">
        <f>'[3]2. Propagácia a marketing'!#REF!</f>
        <v>#REF!</v>
      </c>
      <c r="K37" s="182" t="e">
        <f>'[3]2. Propagácia a marketing'!#REF!</f>
        <v>#REF!</v>
      </c>
      <c r="L37" s="187" t="e">
        <f>SUM(M37:O37)</f>
        <v>#REF!</v>
      </c>
      <c r="M37" s="179" t="e">
        <f>'[3]2. Propagácia a marketing'!#REF!</f>
        <v>#REF!</v>
      </c>
      <c r="N37" s="179" t="e">
        <f>'[3]2. Propagácia a marketing'!#REF!</f>
        <v>#REF!</v>
      </c>
      <c r="O37" s="188" t="e">
        <f>'[3]2.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'[3]2. Propagácia a marketing'!$H$60</f>
        <v>1000</v>
      </c>
      <c r="V37" s="179" t="e">
        <f>'[3]2. Propagácia a marketing'!$I$60</f>
        <v>#REF!</v>
      </c>
      <c r="W37" s="188" t="e">
        <f>'[3]2.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'[3]3.Interné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'[3]3.Interné služby'!#REF!</f>
        <v>#REF!</v>
      </c>
      <c r="L39" s="175" t="e">
        <f>SUM(M39:O39)</f>
        <v>#REF!</v>
      </c>
      <c r="M39" s="172" t="e">
        <f>'[3]3.Interné služby'!#REF!</f>
        <v>#REF!</v>
      </c>
      <c r="N39" s="172" t="e">
        <f>'[3]3.Interné služby'!#REF!</f>
        <v>#REF!</v>
      </c>
      <c r="O39" s="174" t="e">
        <f>'[3]3.Interné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'[3]3.Interné služby'!$H$4</f>
        <v>46864</v>
      </c>
      <c r="V39" s="172">
        <f>'[3]3.Interné služby'!$I$4</f>
        <v>34000</v>
      </c>
      <c r="W39" s="174">
        <f>'[3]3.Interné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'[3]3.Interné služby'!#REF!</f>
        <v>#REF!</v>
      </c>
      <c r="G40" s="173" t="e">
        <f>'[3]3.Interné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'[3]3.Interné služby'!#REF!</f>
        <v>#REF!</v>
      </c>
      <c r="L40" s="175" t="e">
        <f>SUM(M40:O40)</f>
        <v>#REF!</v>
      </c>
      <c r="M40" s="172">
        <v>30256</v>
      </c>
      <c r="N40" s="172" t="e">
        <f>'[3]3.Interné služby'!#REF!</f>
        <v>#REF!</v>
      </c>
      <c r="O40" s="174" t="e">
        <f>'[3]3.Interné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'[3]3.Interné služby'!$H$31</f>
        <v>10900</v>
      </c>
      <c r="V40" s="172">
        <f>'[3]3.Interné služby'!$I$31</f>
        <v>0</v>
      </c>
      <c r="W40" s="174">
        <f>'[3]3.Interné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'[3]3.Interné služby'!#REF!</f>
        <v>#REF!</v>
      </c>
      <c r="G42" s="74" t="e">
        <f>'[3]3.Interné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'[3]3.Interné služby'!#REF!</f>
        <v>#REF!</v>
      </c>
      <c r="L42" s="76" t="e">
        <f t="shared" ref="L42:L47" si="18">SUM(M42:O42)</f>
        <v>#REF!</v>
      </c>
      <c r="M42" s="73" t="e">
        <f>'[3]3.Interné služby'!#REF!</f>
        <v>#REF!</v>
      </c>
      <c r="N42" s="73" t="e">
        <f>'[3]3.Interné služby'!#REF!</f>
        <v>#REF!</v>
      </c>
      <c r="O42" s="75" t="e">
        <f>'[3]3.Interné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'[3]3.Interné služby'!$H$37</f>
        <v>3250</v>
      </c>
      <c r="V42" s="73">
        <f>'[3]3.Interné služby'!$I$37</f>
        <v>0</v>
      </c>
      <c r="W42" s="75">
        <f>'[3]3.Interné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'[3]3.Interné služby'!#REF!</f>
        <v>#REF!</v>
      </c>
      <c r="G43" s="74" t="e">
        <f>'[3]3.Interné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'[3]3.Interné služby'!#REF!</f>
        <v>#REF!</v>
      </c>
      <c r="L43" s="76" t="e">
        <f t="shared" si="18"/>
        <v>#REF!</v>
      </c>
      <c r="M43" s="73">
        <v>800</v>
      </c>
      <c r="N43" s="73" t="e">
        <f>'[3]3.Interné služby'!#REF!</f>
        <v>#REF!</v>
      </c>
      <c r="O43" s="75" t="e">
        <f>'[3]3.Interné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'[3]3.Interné služby'!$H$43</f>
        <v>500</v>
      </c>
      <c r="V43" s="73">
        <f>'[3]3.Interné služby'!$I$43</f>
        <v>0</v>
      </c>
      <c r="W43" s="75">
        <f>'[3]3.Interné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'[3]3.Interné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'[3]3.Interné služby'!#REF!</f>
        <v>#REF!</v>
      </c>
      <c r="L44" s="76" t="e">
        <f t="shared" si="18"/>
        <v>#REF!</v>
      </c>
      <c r="M44" s="73" t="e">
        <f>'[3]3.Interné služby'!#REF!</f>
        <v>#REF!</v>
      </c>
      <c r="N44" s="73">
        <v>20700</v>
      </c>
      <c r="O44" s="75" t="e">
        <f>'[3]3.Interné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'[2]3.Interné služby'!$Q$19</f>
        <v>5000</v>
      </c>
      <c r="V44" s="73">
        <f>'[3]3.Interné služby'!$I$47</f>
        <v>0</v>
      </c>
      <c r="W44" s="75">
        <f>'[3]3.Interné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'[3]3.Interné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'[3]3.Interné služby'!#REF!</f>
        <v>#REF!</v>
      </c>
      <c r="L45" s="76" t="e">
        <f t="shared" si="18"/>
        <v>#REF!</v>
      </c>
      <c r="M45" s="73" t="e">
        <f>'[3]3.Interné služby'!#REF!</f>
        <v>#REF!</v>
      </c>
      <c r="N45" s="73" t="e">
        <f>'[3]3.Interné služby'!#REF!</f>
        <v>#REF!</v>
      </c>
      <c r="O45" s="75" t="e">
        <f>'[3]3.Interné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'[3]3.Interné služby'!$H$99</f>
        <v>4000</v>
      </c>
      <c r="V45" s="73" t="e">
        <f>'[3]3.Interné služby'!$I$99</f>
        <v>#REF!</v>
      </c>
      <c r="W45" s="75" t="e">
        <f>'[3]3.Interné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'[3]3.Interné služby'!#REF!</f>
        <v>#REF!</v>
      </c>
      <c r="G46" s="173" t="e">
        <f>'[3]3.Interné služby'!#REF!</f>
        <v>#REF!</v>
      </c>
      <c r="H46" s="171" t="e">
        <f t="shared" si="17"/>
        <v>#REF!</v>
      </c>
      <c r="I46" s="172">
        <v>2400</v>
      </c>
      <c r="J46" s="172" t="e">
        <f>'[3]3.Interné služby'!#REF!</f>
        <v>#REF!</v>
      </c>
      <c r="K46" s="174" t="e">
        <f>'[3]3.Interné služby'!#REF!</f>
        <v>#REF!</v>
      </c>
      <c r="L46" s="175" t="e">
        <f t="shared" si="18"/>
        <v>#REF!</v>
      </c>
      <c r="M46" s="172">
        <v>3900</v>
      </c>
      <c r="N46" s="172" t="e">
        <f>'[3]3.Interné služby'!#REF!</f>
        <v>#REF!</v>
      </c>
      <c r="O46" s="174" t="e">
        <f>'[3]3.Interné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'[3]3.Interné služby'!$H$101</f>
        <v>3700</v>
      </c>
      <c r="V46" s="172" t="e">
        <f>'[3]3.Interné služby'!$I$102</f>
        <v>#REF!</v>
      </c>
      <c r="W46" s="174" t="e">
        <f>'[3]3.Interné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'[3]3.Interné služby'!#REF!</f>
        <v>#REF!</v>
      </c>
      <c r="G47" s="180" t="e">
        <f>'[3]3.Interné služby'!#REF!</f>
        <v>#REF!</v>
      </c>
      <c r="H47" s="186" t="e">
        <f t="shared" si="17"/>
        <v>#REF!</v>
      </c>
      <c r="I47" s="181">
        <v>1630</v>
      </c>
      <c r="J47" s="181" t="e">
        <f>'[3]3.Interné služby'!#REF!</f>
        <v>#REF!</v>
      </c>
      <c r="K47" s="182" t="e">
        <f>'[3]3.Interné služby'!#REF!</f>
        <v>#REF!</v>
      </c>
      <c r="L47" s="187" t="e">
        <f t="shared" si="18"/>
        <v>#REF!</v>
      </c>
      <c r="M47" s="179" t="e">
        <f>'[3]3.Interné služby'!#REF!</f>
        <v>#REF!</v>
      </c>
      <c r="N47" s="179" t="e">
        <f>'[3]3.Interné služby'!#REF!</f>
        <v>#REF!</v>
      </c>
      <c r="O47" s="188" t="e">
        <f>'[3]3.Interné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'[3]3.Interné služby'!$H$108</f>
        <v>1200</v>
      </c>
      <c r="V47" s="179" t="e">
        <f>'[3]3.Interné služby'!$I$108</f>
        <v>#REF!</v>
      </c>
      <c r="W47" s="188" t="e">
        <f>'[3]3.Interné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'[3]4.Služby občanov'!#REF!</f>
        <v>#REF!</v>
      </c>
      <c r="G49" s="173" t="e">
        <f>'[3]4.Služby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'[3]4.Služby občanov'!#REF!</f>
        <v>#REF!</v>
      </c>
      <c r="L49" s="175" t="e">
        <f>SUM(M49:O49)</f>
        <v>#REF!</v>
      </c>
      <c r="M49" s="172" t="e">
        <f>'[3]4.Služby občanov'!#REF!</f>
        <v>#REF!</v>
      </c>
      <c r="N49" s="172" t="e">
        <f>'[3]4.Služby občanov'!#REF!</f>
        <v>#REF!</v>
      </c>
      <c r="O49" s="174" t="e">
        <f>'[3]4.Služby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'[3]4.Služby občanov'!$H$4</f>
        <v>15600</v>
      </c>
      <c r="V49" s="172">
        <f>'[3]4.Služby občanov'!$I$4</f>
        <v>0</v>
      </c>
      <c r="W49" s="174">
        <f>'[3]4.Služby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'[3]4.Služby občanov'!#REF!</f>
        <v>#REF!</v>
      </c>
      <c r="G51" s="74" t="e">
        <f>'[3]4.Služby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'[3]4.Služby občanov'!#REF!</f>
        <v>#REF!</v>
      </c>
      <c r="L51" s="76" t="e">
        <f>SUM(M51:O51)</f>
        <v>#REF!</v>
      </c>
      <c r="M51" s="73" t="e">
        <f>'[3]4.Služby občanov'!#REF!</f>
        <v>#REF!</v>
      </c>
      <c r="N51" s="73" t="e">
        <f>'[3]4.Služby občanov'!#REF!</f>
        <v>#REF!</v>
      </c>
      <c r="O51" s="75" t="e">
        <f>'[3]4.Služby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'[3]4.Služby občanov'!$H$18</f>
        <v>16737</v>
      </c>
      <c r="V51" s="73">
        <f>'[3]4.Služby občanov'!$I$18</f>
        <v>0</v>
      </c>
      <c r="W51" s="75">
        <f>'[3]4.Služby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'[3]4.Služby občanov'!#REF!</f>
        <v>#REF!</v>
      </c>
      <c r="G52" s="74" t="e">
        <f>'[3]4.Služby občanov'!#REF!</f>
        <v>#REF!</v>
      </c>
      <c r="H52" s="72" t="e">
        <f>SUM(I52:K52)</f>
        <v>#REF!</v>
      </c>
      <c r="I52" s="73" t="e">
        <f>'[3]4.Služby občanov'!#REF!</f>
        <v>#REF!</v>
      </c>
      <c r="J52" s="73">
        <v>0</v>
      </c>
      <c r="K52" s="75" t="e">
        <f>'[3]4.Služby občanov'!#REF!</f>
        <v>#REF!</v>
      </c>
      <c r="L52" s="76" t="e">
        <f>SUM(M52:O52)</f>
        <v>#REF!</v>
      </c>
      <c r="M52" s="73" t="e">
        <f>'[3]4.Služby občanov'!#REF!</f>
        <v>#REF!</v>
      </c>
      <c r="N52" s="73" t="e">
        <f>'[3]4.Služby občanov'!#REF!</f>
        <v>#REF!</v>
      </c>
      <c r="O52" s="75" t="e">
        <f>'[3]4.Služby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'[3]4.Služby občanov'!$H$26</f>
        <v>200</v>
      </c>
      <c r="V52" s="73" t="e">
        <f>'[3]4.Služby občanov'!$I$26</f>
        <v>#REF!</v>
      </c>
      <c r="W52" s="75" t="e">
        <f>'[3]4.Služby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'[3]4.Služby občanov'!#REF!</f>
        <v>#REF!</v>
      </c>
      <c r="F53" s="179" t="e">
        <f>'[3]4.Služby občanov'!#REF!</f>
        <v>#REF!</v>
      </c>
      <c r="G53" s="180" t="e">
        <f>'[3]4.Služby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'[3]4.Služby občanov'!#REF!</f>
        <v>#REF!</v>
      </c>
      <c r="L53" s="187" t="e">
        <f>SUM(M53:O53)</f>
        <v>#REF!</v>
      </c>
      <c r="M53" s="179" t="e">
        <f>'[3]4.Služby občanov'!#REF!</f>
        <v>#REF!</v>
      </c>
      <c r="N53" s="179" t="e">
        <f>'[3]4.Služby občanov'!#REF!</f>
        <v>#REF!</v>
      </c>
      <c r="O53" s="188" t="e">
        <f>'[3]4.Služby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'[3]4.Služby občanov'!$H$28</f>
        <v>10</v>
      </c>
      <c r="V53" s="179" t="e">
        <f>'[3]4.Služby občanov'!$I$28</f>
        <v>#REF!</v>
      </c>
      <c r="W53" s="188" t="e">
        <f>'[3]4.Služby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'[3]5.Bezpečnosť,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'[3]5.Bezpečnosť, právo a por.'!#REF!</f>
        <v>#REF!</v>
      </c>
      <c r="L56" s="76" t="e">
        <f t="shared" ref="L56:L61" si="27">SUM(M56:O56)</f>
        <v>#REF!</v>
      </c>
      <c r="M56" s="73" t="e">
        <f>'[3]5.Bezpečnosť, právo a por.'!#REF!</f>
        <v>#REF!</v>
      </c>
      <c r="N56" s="73" t="e">
        <f>'[3]5.Bezpečnosť, právo a por.'!#REF!</f>
        <v>#REF!</v>
      </c>
      <c r="O56" s="75" t="e">
        <f>'[3]5.Bezpečnosť,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'[3]5.Bezpečnosť, právo a por.'!$H$5</f>
        <v>326718</v>
      </c>
      <c r="V56" s="73">
        <f>'[3]5.Bezpečnosť, právo a por.'!$I$5</f>
        <v>0</v>
      </c>
      <c r="W56" s="75">
        <f>'[3]5.Bezpečnosť,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'[3]5.Bezpečnosť,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'[3]5.Bezpečnosť, právo a por.'!#REF!</f>
        <v>#REF!</v>
      </c>
      <c r="L57" s="76" t="e">
        <f t="shared" si="27"/>
        <v>#REF!</v>
      </c>
      <c r="M57" s="73" t="e">
        <f>'[3]5.Bezpečnosť, právo a por.'!#REF!</f>
        <v>#REF!</v>
      </c>
      <c r="N57" s="73" t="e">
        <f>'[3]5.Bezpečnosť, právo a por.'!#REF!</f>
        <v>#REF!</v>
      </c>
      <c r="O57" s="75" t="e">
        <f>'[3]5.Bezpečnosť,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'[3]5.Bezpečnosť, právo a por.'!$H$49</f>
        <v>67861</v>
      </c>
      <c r="V57" s="73">
        <f>'[3]5.Bezpečnosť, právo a por.'!$I$49</f>
        <v>3050</v>
      </c>
      <c r="W57" s="75">
        <f>'[3]5.Bezpečnosť,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'[3]5.Bezpečnosť,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'[3]5.Bezpečnosť, právo a por.'!#REF!</f>
        <v>#REF!</v>
      </c>
      <c r="L58" s="76" t="e">
        <f t="shared" si="27"/>
        <v>#REF!</v>
      </c>
      <c r="M58" s="73" t="e">
        <f>'[3]5.Bezpečnosť, právo a por.'!#REF!</f>
        <v>#REF!</v>
      </c>
      <c r="N58" s="73" t="e">
        <f>'[3]5.Bezpečnosť, právo a por.'!#REF!</f>
        <v>#REF!</v>
      </c>
      <c r="O58" s="75" t="e">
        <f>'[3]5.Bezpečnosť,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'[3]5.Bezpečnosť, právo a por.'!$H$66</f>
        <v>36887</v>
      </c>
      <c r="V58" s="73">
        <f>'[3]5.Bezpečnosť, právo a por.'!$I$65</f>
        <v>3050</v>
      </c>
      <c r="W58" s="75" t="e">
        <f>'[3]5.Bezpečnosť,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'[3]5.Bezpečnosť, právo a por.'!#REF!</f>
        <v>#REF!</v>
      </c>
      <c r="G59" s="74" t="e">
        <f>'[3]5.Bezpečnosť, právo a por.'!#REF!</f>
        <v>#REF!</v>
      </c>
      <c r="H59" s="72" t="e">
        <f t="shared" si="26"/>
        <v>#REF!</v>
      </c>
      <c r="I59" s="73">
        <v>40098.5</v>
      </c>
      <c r="J59" s="73" t="e">
        <f>'[3]5.Bezpečnosť, právo a por.'!#REF!</f>
        <v>#REF!</v>
      </c>
      <c r="K59" s="75" t="e">
        <f>'[3]5.Bezpečnosť, právo a por.'!#REF!</f>
        <v>#REF!</v>
      </c>
      <c r="L59" s="76" t="e">
        <f t="shared" si="27"/>
        <v>#REF!</v>
      </c>
      <c r="M59" s="73" t="e">
        <f>'[3]5.Bezpečnosť, právo a por.'!#REF!</f>
        <v>#REF!</v>
      </c>
      <c r="N59" s="73" t="e">
        <f>'[3]5.Bezpečnosť, právo a por.'!#REF!</f>
        <v>#REF!</v>
      </c>
      <c r="O59" s="75" t="e">
        <f>'[3]5.Bezpečnosť,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'[3]5.Bezpečnosť, právo a por.'!$H$69</f>
        <v>37517</v>
      </c>
      <c r="V59" s="73">
        <f>'[3]5.Bezpečnosť, právo a por.'!$I$69</f>
        <v>0</v>
      </c>
      <c r="W59" s="75" t="e">
        <f>'[3]5.Bezpečnosť,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'[3]5.Bezpečnosť, právo a por.'!#REF!</f>
        <v>#REF!</v>
      </c>
      <c r="F60" s="172" t="e">
        <f>'[3]5.Bezpečnosť, právo a por.'!#REF!</f>
        <v>#REF!</v>
      </c>
      <c r="G60" s="173" t="e">
        <f>'[3]5.Bezpečnosť,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'[3]5.Bezpečnosť, právo a por.'!#REF!</f>
        <v>#REF!</v>
      </c>
      <c r="L60" s="175" t="e">
        <f t="shared" si="27"/>
        <v>#REF!</v>
      </c>
      <c r="M60" s="172" t="e">
        <f>'[3]5.Bezpečnosť, právo a por.'!#REF!</f>
        <v>#REF!</v>
      </c>
      <c r="N60" s="172" t="e">
        <f>'[3]5.Bezpečnosť, právo a por.'!#REF!</f>
        <v>#REF!</v>
      </c>
      <c r="O60" s="174" t="e">
        <f>'[3]5.Bezpečnosť,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'[3]5.Bezpečnosť, právo a por.'!$H$77</f>
        <v>0</v>
      </c>
      <c r="V60" s="172"/>
      <c r="W60" s="174" t="e">
        <f>'[3]5.Bezpečnosť,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'[3]5.Bezpečnosť, právo a por.'!#REF!</f>
        <v>#REF!</v>
      </c>
      <c r="G61" s="173" t="e">
        <f>'[3]5.Bezpečnosť,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'[3]5.Bezpečnosť, právo a por.'!#REF!</f>
        <v>#REF!</v>
      </c>
      <c r="L61" s="175" t="e">
        <f t="shared" si="27"/>
        <v>#REF!</v>
      </c>
      <c r="M61" s="172" t="e">
        <f>'[3]5.Bezpečnosť, právo a por.'!#REF!</f>
        <v>#REF!</v>
      </c>
      <c r="N61" s="172" t="e">
        <f>'[3]5.Bezpečnosť, právo a por.'!#REF!</f>
        <v>#REF!</v>
      </c>
      <c r="O61" s="174" t="e">
        <f>'[3]5.Bezpečnosť,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'[3]5.Bezpečnosť, právo a por.'!$H$79</f>
        <v>1650</v>
      </c>
      <c r="V61" s="172" t="e">
        <f>'[3]5.Bezpečnosť, právo a por.'!$I$78</f>
        <v>#REF!</v>
      </c>
      <c r="W61" s="174" t="e">
        <f>'[3]5.Bezpečnosť,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'[3]5.Bezpečnosť, právo a por.'!#REF!</f>
        <v>#REF!</v>
      </c>
      <c r="G63" s="74" t="e">
        <f>'[3]5.Bezpečnosť,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'[3]5.Bezpečnosť, právo a por.'!#REF!</f>
        <v>#REF!</v>
      </c>
      <c r="L63" s="76" t="e">
        <f>SUM(M63:O63)</f>
        <v>#REF!</v>
      </c>
      <c r="M63" s="73" t="e">
        <f>'[3]5.Bezpečnosť, právo a por.'!#REF!</f>
        <v>#REF!</v>
      </c>
      <c r="N63" s="73" t="e">
        <f>'[3]5.Bezpečnosť, právo a por.'!#REF!</f>
        <v>#REF!</v>
      </c>
      <c r="O63" s="75" t="e">
        <f>'[3]5.Bezpečnosť,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'[3]5.Bezpečnosť, právo a por.'!$H$95</f>
        <v>187042</v>
      </c>
      <c r="V63" s="73">
        <f>'[3]5.Bezpečnosť, právo a por.'!$I$94</f>
        <v>64679</v>
      </c>
      <c r="W63" s="75">
        <f>'[3]5.Bezpečnosť,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'[3]5.Bezpečnosť, právo a por.'!#REF!</f>
        <v>#REF!</v>
      </c>
      <c r="G64" s="74" t="e">
        <f>'[3]5.Bezpečnosť,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'[3]5.Bezpečnosť, právo a por.'!#REF!</f>
        <v>#REF!</v>
      </c>
      <c r="L64" s="76" t="e">
        <f>SUM(M64:O64)</f>
        <v>#REF!</v>
      </c>
      <c r="M64" s="73">
        <v>42145</v>
      </c>
      <c r="N64" s="73" t="e">
        <f>'[3]5.Bezpečnosť, právo a por.'!#REF!</f>
        <v>#REF!</v>
      </c>
      <c r="O64" s="75" t="e">
        <f>'[3]5.Bezpečnosť,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'[3]5.Bezpečnosť, právo a por.'!$H$101</f>
        <v>74900</v>
      </c>
      <c r="V64" s="73"/>
      <c r="W64" s="75" t="e">
        <f>'[3]5.Bezpečnosť,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'[3]5.Bezpečnosť, právo a por.'!#REF!</f>
        <v>#REF!</v>
      </c>
      <c r="G65" s="74" t="e">
        <f>'[3]5.Bezpečnosť,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'[3]5.Bezpečnosť, právo a por.'!#REF!</f>
        <v>#REF!</v>
      </c>
      <c r="L65" s="76" t="e">
        <f>SUM(M65:O65)</f>
        <v>#REF!</v>
      </c>
      <c r="M65" s="73" t="e">
        <f>'[3]5.Bezpečnosť, právo a por.'!#REF!</f>
        <v>#REF!</v>
      </c>
      <c r="N65" s="73" t="e">
        <f>'[3]5.Bezpečnosť, právo a por.'!#REF!</f>
        <v>#REF!</v>
      </c>
      <c r="O65" s="75" t="e">
        <f>'[3]5.Bezpečnosť,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'[3]5.Bezpečnosť, právo a por.'!$H$103</f>
        <v>#REF!</v>
      </c>
      <c r="V65" s="73">
        <f>'[3]5.Bezpečnosť, právo a por.'!$I$102</f>
        <v>0</v>
      </c>
      <c r="W65" s="75">
        <f>'[3]5.Bezpečnosť,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'[3]5.Bezpečnosť, právo a por.'!#REF!</f>
        <v>#REF!</v>
      </c>
      <c r="G66" s="74" t="e">
        <f>'[3]5.Bezpečnosť,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'[3]5.Bezpečnosť, právo a por.'!#REF!</f>
        <v>#REF!</v>
      </c>
      <c r="L66" s="76" t="e">
        <f>SUM(M66:O66)</f>
        <v>#REF!</v>
      </c>
      <c r="M66" s="73">
        <v>0</v>
      </c>
      <c r="N66" s="73" t="e">
        <f>'[3]5.Bezpečnosť, právo a por.'!#REF!</f>
        <v>#REF!</v>
      </c>
      <c r="O66" s="75" t="e">
        <f>'[3]5.Bezpečnosť,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'[3]5.Bezpečnosť, právo a por.'!$H$106</f>
        <v>#REF!</v>
      </c>
      <c r="V66" s="73">
        <f>'[3]5.Bezpečnosť, právo a por.'!$I$105</f>
        <v>0</v>
      </c>
      <c r="W66" s="75">
        <f>'[3]5.Bezpečnosť,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'[3]5.Bezpečnosť, právo a por.'!#REF!</f>
        <v>#REF!</v>
      </c>
      <c r="G68" s="74" t="e">
        <f>'[3]5.Bezpečnosť, právo a por.'!#REF!</f>
        <v>#REF!</v>
      </c>
      <c r="H68" s="72" t="e">
        <f>SUM(I68:K68)</f>
        <v>#REF!</v>
      </c>
      <c r="I68" s="73" t="e">
        <f>'[3]5.Bezpečnosť, právo a por.'!#REF!</f>
        <v>#REF!</v>
      </c>
      <c r="J68" s="73">
        <v>0</v>
      </c>
      <c r="K68" s="75" t="e">
        <f>'[3]5.Bezpečnosť, právo a por.'!#REF!</f>
        <v>#REF!</v>
      </c>
      <c r="L68" s="76" t="e">
        <f>SUM(M68:O68)</f>
        <v>#REF!</v>
      </c>
      <c r="M68" s="73" t="e">
        <f>'[3]5.Bezpečnosť, právo a por.'!#REF!</f>
        <v>#REF!</v>
      </c>
      <c r="N68" s="73" t="e">
        <f>'[3]5.Bezpečnosť, právo a por.'!#REF!</f>
        <v>#REF!</v>
      </c>
      <c r="O68" s="75" t="e">
        <f>'[3]5.Bezpečnosť,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'[3]5.Bezpečnosť, právo a por.'!$H$110</f>
        <v>1300</v>
      </c>
      <c r="V68" s="73">
        <f>'[3]5.Bezpečnosť, právo a por.'!$I$109</f>
        <v>0</v>
      </c>
      <c r="W68" s="75">
        <f>'[3]5.Bezpečnosť,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'[3]5.Bezpečnosť, právo a por.'!#REF!</f>
        <v>#REF!</v>
      </c>
      <c r="G69" s="81" t="e">
        <f>'[3]5.Bezpečnosť,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'[3]5.Bezpečnosť, právo a por.'!#REF!</f>
        <v>#REF!</v>
      </c>
      <c r="L69" s="89" t="e">
        <f>SUM(M69:O69)</f>
        <v>#REF!</v>
      </c>
      <c r="M69" s="80" t="e">
        <f>'[3]5.Bezpečnosť, právo a por.'!#REF!</f>
        <v>#REF!</v>
      </c>
      <c r="N69" s="80" t="e">
        <f>'[3]5.Bezpečnosť, právo a por.'!#REF!</f>
        <v>#REF!</v>
      </c>
      <c r="O69" s="90" t="e">
        <f>'[3]5.Bezpečnosť,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'[3]5.Bezpečnosť, právo a por.'!$H$112</f>
        <v>#REF!</v>
      </c>
      <c r="V69" s="80">
        <f>'[3]5.Bezpečnosť, právo a por.'!$I$111</f>
        <v>0</v>
      </c>
      <c r="W69" s="90">
        <f>'[3]5.Bezpečnosť,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'[3]6.Odpadové hospodárstvo'!#REF!</f>
        <v>#REF!</v>
      </c>
      <c r="G72" s="74" t="e">
        <f>'[3]6.Odpadové hospodárstvo'!#REF!</f>
        <v>#REF!</v>
      </c>
      <c r="H72" s="72" t="e">
        <f>SUM(I72:K72)</f>
        <v>#REF!</v>
      </c>
      <c r="I72" s="73">
        <v>265</v>
      </c>
      <c r="J72" s="73" t="e">
        <f>'[3]6.Odpadové hospodárstvo'!#REF!</f>
        <v>#REF!</v>
      </c>
      <c r="K72" s="75" t="e">
        <f>'[3]6.Odpadové hospodárstvo'!#REF!</f>
        <v>#REF!</v>
      </c>
      <c r="L72" s="76" t="e">
        <f>SUM(M72:O72)</f>
        <v>#REF!</v>
      </c>
      <c r="M72" s="73" t="e">
        <f>'[3]6.Odpadové hospodárstvo'!#REF!</f>
        <v>#REF!</v>
      </c>
      <c r="N72" s="73" t="e">
        <f>'[3]6.Odpadové hospodárstvo'!#REF!</f>
        <v>#REF!</v>
      </c>
      <c r="O72" s="75" t="e">
        <f>'[3]6.Odpadové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'[3]6.Odpadové hospodárstvo'!$H$5</f>
        <v>850</v>
      </c>
      <c r="V72" s="73">
        <f>'[3]6.Odpadové hospodárstvo'!$I$5</f>
        <v>5200</v>
      </c>
      <c r="W72" s="75">
        <f>'[3]6.Odpadové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'[3]6.Odpadové hospodárstvo'!#REF!</f>
        <v>#REF!</v>
      </c>
      <c r="G73" s="74" t="e">
        <f>'[3]6.Odpadové hospodárstvo'!#REF!</f>
        <v>#REF!</v>
      </c>
      <c r="H73" s="72" t="e">
        <f>SUM(I73:K73)</f>
        <v>#REF!</v>
      </c>
      <c r="I73" s="73">
        <v>514242</v>
      </c>
      <c r="J73" s="73" t="e">
        <f>'[3]6.Odpadové hospodárstvo'!#REF!</f>
        <v>#REF!</v>
      </c>
      <c r="K73" s="75" t="e">
        <f>'[3]6.Odpadové hospodárstvo'!#REF!</f>
        <v>#REF!</v>
      </c>
      <c r="L73" s="76" t="e">
        <f>SUM(M73:O73)</f>
        <v>#REF!</v>
      </c>
      <c r="M73" s="73" t="e">
        <f>'[3]6.Odpadové hospodárstvo'!#REF!</f>
        <v>#REF!</v>
      </c>
      <c r="N73" s="73" t="e">
        <f>'[3]6.Odpadové hospodárstvo'!#REF!</f>
        <v>#REF!</v>
      </c>
      <c r="O73" s="75" t="e">
        <f>'[3]6.Odpadové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'[3]6.Odpadové hospodárstvo'!$H$10</f>
        <v>558000</v>
      </c>
      <c r="V73" s="73">
        <f>'[3]6.Odpadové hospodárstvo'!$I$10</f>
        <v>0</v>
      </c>
      <c r="W73" s="75">
        <f>'[3]6.Odpadové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'[3]6.Odpadové hospodárstvo'!#REF!</f>
        <v>#REF!</v>
      </c>
      <c r="G75" s="74" t="e">
        <f>'[3]6.Odpadové hospodárstvo'!#REF!</f>
        <v>#REF!</v>
      </c>
      <c r="H75" s="72" t="e">
        <f>SUM(I75:K75)</f>
        <v>#REF!</v>
      </c>
      <c r="I75" s="73">
        <v>68842</v>
      </c>
      <c r="J75" s="73" t="e">
        <f>'[3]6.Odpadové hospodárstvo'!#REF!</f>
        <v>#REF!</v>
      </c>
      <c r="K75" s="75" t="e">
        <f>'[3]6.Odpadové hospodárstvo'!#REF!</f>
        <v>#REF!</v>
      </c>
      <c r="L75" s="76" t="e">
        <f>SUM(M75:O75)</f>
        <v>#REF!</v>
      </c>
      <c r="M75" s="73" t="e">
        <f>'[3]6.Odpadové hospodárstvo'!#REF!</f>
        <v>#REF!</v>
      </c>
      <c r="N75" s="73" t="e">
        <f>'[3]6.Odpadové hospodárstvo'!#REF!</f>
        <v>#REF!</v>
      </c>
      <c r="O75" s="75" t="e">
        <f>'[3]6.Odpadové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'[3]6.Odpadové hospodárstvo'!$H$15</f>
        <v>86950</v>
      </c>
      <c r="V75" s="73">
        <f>'[3]6.Odpadové hospodárstvo'!$I$15</f>
        <v>0</v>
      </c>
      <c r="W75" s="75">
        <f>'[3]6.Odpadové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'[3]6.Odpadové hospodárstvo'!#REF!</f>
        <v>#REF!</v>
      </c>
      <c r="G76" s="74" t="e">
        <f>'[3]6.Odpadové hospodárstvo'!#REF!</f>
        <v>#REF!</v>
      </c>
      <c r="H76" s="72" t="e">
        <f>SUM(I76:K76)</f>
        <v>#REF!</v>
      </c>
      <c r="I76" s="73">
        <v>9921</v>
      </c>
      <c r="J76" s="73" t="e">
        <f>'[3]6.Odpadové hospodárstvo'!#REF!</f>
        <v>#REF!</v>
      </c>
      <c r="K76" s="75" t="e">
        <f>'[3]6.Odpadové hospodárstvo'!#REF!</f>
        <v>#REF!</v>
      </c>
      <c r="L76" s="76" t="e">
        <f>SUM(M76:O76)</f>
        <v>#REF!</v>
      </c>
      <c r="M76" s="73" t="e">
        <f>'[3]6.Odpadové hospodárstvo'!#REF!</f>
        <v>#REF!</v>
      </c>
      <c r="N76" s="73" t="e">
        <f>'[3]6.Odpadové hospodárstvo'!#REF!</f>
        <v>#REF!</v>
      </c>
      <c r="O76" s="75" t="e">
        <f>'[3]6.Odpadové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'[3]6.Odpadové hospodárstvo'!$H$18</f>
        <v>13700</v>
      </c>
      <c r="V76" s="73">
        <f>'[3]6.Odpadové hospodárstvo'!$I$18</f>
        <v>0</v>
      </c>
      <c r="W76" s="75">
        <f>'[3]6.Odpadové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'[3]6.Odpadové hospodárstvo'!#REF!</f>
        <v>#REF!</v>
      </c>
      <c r="H77" s="186" t="e">
        <f>SUM(I77:K77)</f>
        <v>#REF!</v>
      </c>
      <c r="I77" s="181">
        <v>73327</v>
      </c>
      <c r="J77" s="181" t="e">
        <f>'[3]6.Odpadové hospodárstvo'!#REF!</f>
        <v>#REF!</v>
      </c>
      <c r="K77" s="182" t="e">
        <f>'[3]6.Odpadové hospodárstvo'!#REF!</f>
        <v>#REF!</v>
      </c>
      <c r="L77" s="187" t="e">
        <f>SUM(M77:O77)</f>
        <v>#REF!</v>
      </c>
      <c r="M77" s="179" t="e">
        <f>'[3]6.Odpadové hospodárstvo'!#REF!</f>
        <v>#REF!</v>
      </c>
      <c r="N77" s="179" t="e">
        <f>'[3]6.Odpadové hospodárstvo'!#REF!</f>
        <v>#REF!</v>
      </c>
      <c r="O77" s="188" t="e">
        <f>'[3]6.Odpadové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'[3]6.Odpadové hospodárstvo'!$H$20</f>
        <v>84350</v>
      </c>
      <c r="V77" s="179">
        <f>'[3]6.Odpadové hospodárstvo'!$I$20</f>
        <v>0</v>
      </c>
      <c r="W77" s="188">
        <f>'[3]6.Odpadové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'[3]7.Komunikácie'!#REF!</f>
        <v>#REF!</v>
      </c>
      <c r="F80" s="73" t="e">
        <f>'[3]7.Komunikácie'!#REF!</f>
        <v>#REF!</v>
      </c>
      <c r="G80" s="74" t="e">
        <f>'[3]7.Komunikácie'!#REF!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'[3]7.Komunikácie'!#REF!</f>
        <v>#REF!</v>
      </c>
      <c r="N80" s="73" t="e">
        <f>'[3]7.Komunikácie'!#REF!</f>
        <v>#REF!</v>
      </c>
      <c r="O80" s="75" t="e">
        <f>'[3]7.Komunikácie'!#REF!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'[3]7.Komunikácie'!$H$5</f>
        <v>0</v>
      </c>
      <c r="V80" s="73">
        <f>'[3]7.Komunikácie'!$I$5</f>
        <v>0</v>
      </c>
      <c r="W80" s="75">
        <f>'[3]7.Komunikácie'!$J$5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'[3]7.Komunikácie'!#REF!</f>
        <v>#REF!</v>
      </c>
      <c r="N81" s="73" t="e">
        <f>'[3]7.Komunikácie'!#REF!</f>
        <v>#REF!</v>
      </c>
      <c r="O81" s="75" t="e">
        <f>'[3]7.Komunikácie'!#REF!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'[3]7.Komunikácie'!$H$7</f>
        <v>91205</v>
      </c>
      <c r="V81" s="73">
        <f>'[3]7.Komunikácie'!$I$7</f>
        <v>8850</v>
      </c>
      <c r="W81" s="75">
        <f>'[3]7.Komunikácie'!$J$7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'[3]7.Komunikácie'!#REF!</f>
        <v>#REF!</v>
      </c>
      <c r="G82" s="74" t="e">
        <f>'[3]7.Komunikácie'!#REF!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'[3]7.Komunikácie'!#REF!</f>
        <v>#REF!</v>
      </c>
      <c r="N82" s="73" t="e">
        <f>'[3]7.Komunikácie'!#REF!</f>
        <v>#REF!</v>
      </c>
      <c r="O82" s="75" t="e">
        <f>'[3]7.Komunikácie'!#REF!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'[3]7.Komunikácie'!$H$21</f>
        <v>79000</v>
      </c>
      <c r="V82" s="73">
        <f>'[3]7.Komunikácie'!$I$21</f>
        <v>0</v>
      </c>
      <c r="W82" s="75">
        <f>'[3]7.Komunikácie'!$J$21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'[3]7.Komunikácie'!#REF!</f>
        <v>#REF!</v>
      </c>
      <c r="G83" s="74" t="e">
        <f>'[3]7.Komunikácie'!#REF!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'[3]7.Komunikácie'!#REF!</f>
        <v>#REF!</v>
      </c>
      <c r="N83" s="73" t="e">
        <f>'[3]7.Komunikácie'!#REF!</f>
        <v>#REF!</v>
      </c>
      <c r="O83" s="75" t="e">
        <f>'[3]7.Komunikácie'!#REF!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'[3]7.Komunikácie'!$H$24</f>
        <v>82000</v>
      </c>
      <c r="V83" s="73">
        <f>'[3]7.Komunikácie'!$I$24</f>
        <v>0</v>
      </c>
      <c r="W83" s="75">
        <f>'[3]7.Komunikácie'!$J$24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'[3]7.Komunikácie'!#REF!</f>
        <v>#REF!</v>
      </c>
      <c r="G84" s="74" t="e">
        <f>'[3]7.Komunikácie'!#REF!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'[3]7.Komunikácie'!#REF!</f>
        <v>#REF!</v>
      </c>
      <c r="N84" s="73" t="e">
        <f>'[3]7.Komunikácie'!#REF!</f>
        <v>#REF!</v>
      </c>
      <c r="O84" s="75" t="e">
        <f>'[3]7.Komunikácie'!#REF!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'[3]7.Komunikácie'!$H$27</f>
        <v>96150</v>
      </c>
      <c r="V84" s="73">
        <f>'[3]7.Komunikácie'!$I$27</f>
        <v>0</v>
      </c>
      <c r="W84" s="75">
        <f>'[3]7.Komunikácie'!$J$27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'[3]7.Komunikácie'!#REF!</f>
        <v>#REF!</v>
      </c>
      <c r="G85" s="74" t="e">
        <f>'[3]7.Komunikácie'!#REF!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'[3]7.Komunikácie'!#REF!</f>
        <v>#REF!</v>
      </c>
      <c r="O85" s="75" t="e">
        <f>'[3]7.Komunikácie'!#REF!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'[3]7.Komunikácie'!$H$31</f>
        <v>10350</v>
      </c>
      <c r="V85" s="73">
        <f>'[3]7.Komunikácie'!$I$31</f>
        <v>0</v>
      </c>
      <c r="W85" s="75">
        <f>'[3]7.Komunikácie'!$J$31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'[3]7.Komunikácie'!#REF!</f>
        <v>#REF!</v>
      </c>
      <c r="G86" s="74" t="e">
        <f>'[3]7.Komunikácie'!#REF!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'[3]7.Komunikácie'!#REF!</f>
        <v>#REF!</v>
      </c>
      <c r="O86" s="75" t="e">
        <f>'[3]7.Komunikácie'!#REF!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'[3]7.Komunikácie'!$H$35</f>
        <v>10000</v>
      </c>
      <c r="V86" s="73">
        <f>'[3]7.Komunikácie'!$I$35</f>
        <v>0</v>
      </c>
      <c r="W86" s="75">
        <f>'[3]7.Komunikácie'!$J$35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'[3]7.Komunikácie'!#REF!</f>
        <v>#REF!</v>
      </c>
      <c r="F88" s="73">
        <v>68101</v>
      </c>
      <c r="G88" s="74" t="e">
        <f>'[3]7.Komunikácie'!#REF!</f>
        <v>#REF!</v>
      </c>
      <c r="H88" s="72" t="e">
        <f>SUM(I88:K88)</f>
        <v>#REF!</v>
      </c>
      <c r="I88" s="73" t="e">
        <f>'[3]7.Komunikácie'!#REF!</f>
        <v>#REF!</v>
      </c>
      <c r="J88" s="73" t="e">
        <f>'[3]7.Komunikácie'!#REF!</f>
        <v>#REF!</v>
      </c>
      <c r="K88" s="75" t="e">
        <f>'[3]7.Komunikácie'!#REF!</f>
        <v>#REF!</v>
      </c>
      <c r="L88" s="76" t="e">
        <f>SUM(M88:O88)</f>
        <v>#REF!</v>
      </c>
      <c r="M88" s="73" t="e">
        <f>'[3]7.Komunikácie'!#REF!</f>
        <v>#REF!</v>
      </c>
      <c r="N88" s="73" t="e">
        <f>'[3]7.Komunikácie'!#REF!</f>
        <v>#REF!</v>
      </c>
      <c r="O88" s="75" t="e">
        <f>'[3]7.Komunikácie'!#REF!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'[3]7.Komunikácie'!$H$39</f>
        <v>0</v>
      </c>
      <c r="V88" s="73">
        <f>'[3]7.Komunikácie'!$I$39</f>
        <v>120000</v>
      </c>
      <c r="W88" s="75">
        <f>'[3]7.Komunikácie'!$J$39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'[3]7.Komunikácie'!#REF!</f>
        <v>#REF!</v>
      </c>
      <c r="G89" s="74" t="e">
        <f>'[3]7.Komunikácie'!#REF!</f>
        <v>#REF!</v>
      </c>
      <c r="H89" s="72" t="e">
        <f>SUM(I89:K89)</f>
        <v>#REF!</v>
      </c>
      <c r="I89" s="73" t="e">
        <f>'[3]7.Komunikácie'!#REF!</f>
        <v>#REF!</v>
      </c>
      <c r="J89" s="73" t="e">
        <f>'[3]7.Komunikácie'!#REF!</f>
        <v>#REF!</v>
      </c>
      <c r="K89" s="75" t="e">
        <f>'[3]7.Komunikácie'!#REF!</f>
        <v>#REF!</v>
      </c>
      <c r="L89" s="76" t="e">
        <f>SUM(M89:O89)</f>
        <v>#REF!</v>
      </c>
      <c r="M89" s="73">
        <v>8150</v>
      </c>
      <c r="N89" s="73" t="e">
        <f>'[3]7.Komunikácie'!#REF!</f>
        <v>#REF!</v>
      </c>
      <c r="O89" s="75" t="e">
        <f>'[3]7.Komunikácie'!#REF!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'[3]7.Komunikácie'!$H$41</f>
        <v>9000</v>
      </c>
      <c r="V89" s="73">
        <f>'[3]7.Komunikácie'!$I$41</f>
        <v>0</v>
      </c>
      <c r="W89" s="75">
        <f>'[3]7.Komunikácie'!$J$41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'[3]7.Komunikácie'!#REF!</f>
        <v>#REF!</v>
      </c>
      <c r="F91" s="73" t="e">
        <f>'[3]7.Komunikácie'!#REF!</f>
        <v>#REF!</v>
      </c>
      <c r="G91" s="74" t="e">
        <f>'[3]7.Komunikácie'!#REF!</f>
        <v>#REF!</v>
      </c>
      <c r="H91" s="72" t="e">
        <f>SUM(I91:K91)</f>
        <v>#REF!</v>
      </c>
      <c r="I91" s="73" t="e">
        <f>'[3]7.Komunikácie'!#REF!</f>
        <v>#REF!</v>
      </c>
      <c r="J91" s="73" t="e">
        <f>'[3]7.Komunikácie'!#REF!</f>
        <v>#REF!</v>
      </c>
      <c r="K91" s="75" t="e">
        <f>'[3]7.Komunikácie'!#REF!</f>
        <v>#REF!</v>
      </c>
      <c r="L91" s="76" t="e">
        <f>SUM(M91:O91)</f>
        <v>#REF!</v>
      </c>
      <c r="M91" s="73" t="e">
        <f>'[3]7.Komunikácie'!#REF!</f>
        <v>#REF!</v>
      </c>
      <c r="N91" s="73" t="e">
        <f>'[3]7.Komunikácie'!#REF!</f>
        <v>#REF!</v>
      </c>
      <c r="O91" s="75" t="e">
        <f>'[3]7.Komunikácie'!#REF!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'[3]7.Komunikácie'!$H$44</f>
        <v>0</v>
      </c>
      <c r="V91" s="73">
        <f>'[3]7.Komunikácie'!$I$44</f>
        <v>0</v>
      </c>
      <c r="W91" s="75">
        <f>'[3]7.Komunikácie'!$J$44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'[3]7.Komunikácie'!#REF!</f>
        <v>#REF!</v>
      </c>
      <c r="G92" s="81" t="e">
        <f>'[3]7.Komunikácie'!#REF!</f>
        <v>#REF!</v>
      </c>
      <c r="H92" s="88" t="e">
        <f>SUM(I92:K92)</f>
        <v>#REF!</v>
      </c>
      <c r="I92" s="82" t="e">
        <f>'[3]7.Komunikácie'!#REF!</f>
        <v>#REF!</v>
      </c>
      <c r="J92" s="82" t="e">
        <f>'[3]7.Komunikácie'!#REF!</f>
        <v>#REF!</v>
      </c>
      <c r="K92" s="83" t="e">
        <f>'[3]7.Komunikácie'!#REF!</f>
        <v>#REF!</v>
      </c>
      <c r="L92" s="89" t="e">
        <f>SUM(M92:O92)</f>
        <v>#REF!</v>
      </c>
      <c r="M92" s="80" t="e">
        <f>'[3]7.Komunikácie'!#REF!</f>
        <v>#REF!</v>
      </c>
      <c r="N92" s="80" t="e">
        <f>'[3]7.Komunikácie'!#REF!</f>
        <v>#REF!</v>
      </c>
      <c r="O92" s="90" t="e">
        <f>'[3]7.Komunikácie'!#REF!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'[3]7.Komunikácie'!$H$47</f>
        <v>0</v>
      </c>
      <c r="V92" s="80">
        <f>'[3]7.Komunikácie'!$I$47</f>
        <v>0</v>
      </c>
      <c r="W92" s="90">
        <f>'[3]7.Komunikácie'!$J$47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'[3]8.Doprava'!#REF!</f>
        <v>#REF!</v>
      </c>
      <c r="G94" s="173" t="e">
        <f>'[3]8.Doprava'!#REF!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'[3]8.Doprava'!#REF!</f>
        <v>#REF!</v>
      </c>
      <c r="N94" s="172" t="e">
        <f>'[3]8.Doprava'!#REF!</f>
        <v>#REF!</v>
      </c>
      <c r="O94" s="174" t="e">
        <f>'[3]8.Doprava'!#REF!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'[3]8.Doprava'!$H$4</f>
        <v>71000</v>
      </c>
      <c r="V94" s="172">
        <f>'[3]8.Doprava'!$I$4</f>
        <v>0</v>
      </c>
      <c r="W94" s="174">
        <f>'[3]8.Doprava'!$J$4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'[3]8.Doprava'!#REF!</f>
        <v>#REF!</v>
      </c>
      <c r="G96" s="81" t="e">
        <f>'[3]8.Doprava'!#REF!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'[3]8.Doprava'!#REF!</f>
        <v>#REF!</v>
      </c>
      <c r="N96" s="80" t="e">
        <f>'[3]8.Doprava'!#REF!</f>
        <v>#REF!</v>
      </c>
      <c r="O96" s="90" t="e">
        <f>'[3]8.Doprava'!#REF!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'[3]8.Doprava'!$H$7</f>
        <v>2850</v>
      </c>
      <c r="V96" s="80">
        <f>'[3]8.Doprava'!$I$7</f>
        <v>0</v>
      </c>
      <c r="W96" s="90">
        <f>'[3]8.Doprava'!$J$7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'[3]9. Vzdelávanie'!#REF!</f>
        <v>#REF!</v>
      </c>
      <c r="G98" s="173" t="e">
        <f>'[3]9.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'[3]9. Vzdelávanie'!#REF!</f>
        <v>#REF!</v>
      </c>
      <c r="N98" s="172" t="e">
        <f>'[3]9. Vzdelávanie'!#REF!</f>
        <v>#REF!</v>
      </c>
      <c r="O98" s="174" t="e">
        <f>'[3]9.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'[3]9. Vzdelávanie'!$H$4</f>
        <v>4292</v>
      </c>
      <c r="V98" s="172">
        <f>'[3]9. Vzdelávanie'!$I$4</f>
        <v>0</v>
      </c>
      <c r="W98" s="174">
        <f>'[3]9.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'[3]9. Vzdelávanie'!#REF!</f>
        <v>#REF!</v>
      </c>
      <c r="G100" s="74" t="e">
        <f>'[3]9.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'[3]9. Vzdelávanie'!#REF!</f>
        <v>#REF!</v>
      </c>
      <c r="N100" s="73" t="e">
        <f>'[3]9. Vzdelávanie'!#REF!</f>
        <v>#REF!</v>
      </c>
      <c r="O100" s="75" t="e">
        <f>'[3]9.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'[2]9. Vzdelávanie'!$Q$9</f>
        <v>1431</v>
      </c>
      <c r="V100" s="73" t="e">
        <f>'[3]9. Vzdelávanie'!$I$33</f>
        <v>#REF!</v>
      </c>
      <c r="W100" s="75" t="e">
        <f>'[3]9.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'[3]9. Vzdelávanie'!#REF!</f>
        <v>#REF!</v>
      </c>
      <c r="G101" s="74" t="e">
        <f>'[3]9.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'[3]9. Vzdelávanie'!#REF!</f>
        <v>#REF!</v>
      </c>
      <c r="N101" s="73" t="e">
        <f>'[3]9. Vzdelávanie'!#REF!</f>
        <v>#REF!</v>
      </c>
      <c r="O101" s="75" t="e">
        <f>'[3]9.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'[2]9. Vzdelávanie'!$Q$18</f>
        <v>1479615</v>
      </c>
      <c r="V101" s="73" t="e">
        <f>'[3]9. Vzdelávanie'!$I$34</f>
        <v>#REF!</v>
      </c>
      <c r="W101" s="75" t="e">
        <f>'[3]9.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'[3]9.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'[3]9. Vzdelávanie'!#REF!</f>
        <v>#REF!</v>
      </c>
      <c r="N102" s="73" t="e">
        <f>'[3]9. Vzdelávanie'!#REF!</f>
        <v>#REF!</v>
      </c>
      <c r="O102" s="75" t="e">
        <f>'[3]9.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'[2]9. Vzdelávanie'!$Q$19</f>
        <v>147030</v>
      </c>
      <c r="V102" s="73">
        <f>'[3]9. Vzdelávanie'!$I$35</f>
        <v>0</v>
      </c>
      <c r="W102" s="75">
        <f>'[3]9.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'[3]9. Vzdelávanie'!#REF!</f>
        <v>#REF!</v>
      </c>
      <c r="F103" s="73" t="e">
        <f>'[3]9. Vzdelávanie'!#REF!</f>
        <v>#REF!</v>
      </c>
      <c r="G103" s="74" t="e">
        <f>'[3]9.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'[3]9. Vzdelávanie'!#REF!</f>
        <v>#REF!</v>
      </c>
      <c r="N103" s="73" t="e">
        <f>'[3]9. Vzdelávanie'!#REF!</f>
        <v>#REF!</v>
      </c>
      <c r="O103" s="75" t="e">
        <f>'[3]9.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'[3]9. Vzdelávanie'!$H$38</f>
        <v>0</v>
      </c>
      <c r="V103" s="73">
        <f>'[3]9. Vzdelávanie'!$I$38</f>
        <v>0</v>
      </c>
      <c r="W103" s="75" t="e">
        <f>'[3]9.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'[3]9. Vzdelávanie'!#REF!</f>
        <v>#REF!</v>
      </c>
      <c r="G104" s="74" t="e">
        <f>'[3]9.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'[3]9. Vzdelávanie'!#REF!</f>
        <v>#REF!</v>
      </c>
      <c r="N104" s="73" t="e">
        <f>'[3]9. Vzdelávanie'!#REF!</f>
        <v>#REF!</v>
      </c>
      <c r="O104" s="75" t="e">
        <f>'[3]9.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'[2]9. Vzdelávanie'!#REF!</f>
        <v>#REF!</v>
      </c>
      <c r="V104" s="73" t="e">
        <f>'[3]9. Vzdelávanie'!$I$39</f>
        <v>#REF!</v>
      </c>
      <c r="W104" s="75" t="e">
        <f>'[3]9.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'[3]9.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'[3]9. Vzdelávanie'!#REF!</f>
        <v>#REF!</v>
      </c>
      <c r="N105" s="73" t="e">
        <f>'[3]9. Vzdelávanie'!#REF!</f>
        <v>#REF!</v>
      </c>
      <c r="O105" s="75" t="e">
        <f>'[3]9.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'[2]9. Vzdelávanie'!$Q$22</f>
        <v>84028</v>
      </c>
      <c r="V105" s="73">
        <f>'[3]9. Vzdelávanie'!$I$40</f>
        <v>0</v>
      </c>
      <c r="W105" s="75">
        <f>'[3]9.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'[3]9.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'[3]9. Vzdelávanie'!#REF!</f>
        <v>#REF!</v>
      </c>
      <c r="N106" s="73" t="e">
        <f>'[3]9. Vzdelávanie'!#REF!</f>
        <v>#REF!</v>
      </c>
      <c r="O106" s="75" t="e">
        <f>'[3]9.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'[2]9. Vzdelávanie'!#REF!</f>
        <v>#REF!</v>
      </c>
      <c r="V106" s="73" t="e">
        <f>'[3]9. Vzdelávanie'!$I$43</f>
        <v>#REF!</v>
      </c>
      <c r="W106" s="75" t="e">
        <f>'[3]9.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'[3]9. Vzdelávanie'!#REF!</f>
        <v>#REF!</v>
      </c>
      <c r="G108" s="74" t="e">
        <f>'[3]9.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'[3]9. Vzdelávanie'!#REF!</f>
        <v>#REF!</v>
      </c>
      <c r="N108" s="73" t="e">
        <f>'[3]9. Vzdelávanie'!#REF!</f>
        <v>#REF!</v>
      </c>
      <c r="O108" s="75" t="e">
        <f>'[3]9.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'[2]9. Vzdelávanie'!$Q$25</f>
        <v>185514</v>
      </c>
      <c r="V108" s="73" t="e">
        <f>'[3]9. Vzdelávanie'!$I$46</f>
        <v>#REF!</v>
      </c>
      <c r="W108" s="75" t="e">
        <f>'[3]9.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'[3]9.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'[3]9. Vzdelávanie'!#REF!</f>
        <v>#REF!</v>
      </c>
      <c r="N109" s="73" t="e">
        <f>'[3]9. Vzdelávanie'!#REF!</f>
        <v>#REF!</v>
      </c>
      <c r="O109" s="75" t="e">
        <f>'[3]9.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'[2]9. Vzdelávanie'!$Q$26</f>
        <v>33520</v>
      </c>
      <c r="V109" s="73" t="e">
        <f>'[3]9. Vzdelávanie'!$I$47</f>
        <v>#REF!</v>
      </c>
      <c r="W109" s="75" t="e">
        <f>'[3]9.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'[3]9. Vzdelávanie'!#REF!</f>
        <v>#REF!</v>
      </c>
      <c r="G110" s="74" t="e">
        <f>'[3]9.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'[3]9. Vzdelávanie'!#REF!</f>
        <v>#REF!</v>
      </c>
      <c r="N110" s="73" t="e">
        <f>'[3]9. Vzdelávanie'!#REF!</f>
        <v>#REF!</v>
      </c>
      <c r="O110" s="75" t="e">
        <f>'[3]9.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'[2]9. Vzdelávanie'!$Q$27</f>
        <v>3786847</v>
      </c>
      <c r="V110" s="73">
        <f>'[3]9. Vzdelávanie'!$I$48</f>
        <v>0</v>
      </c>
      <c r="W110" s="75">
        <f>'[3]9.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'[3]9.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'[3]9. Vzdelávanie'!#REF!</f>
        <v>#REF!</v>
      </c>
      <c r="N111" s="73" t="e">
        <f>'[3]9. Vzdelávanie'!#REF!</f>
        <v>#REF!</v>
      </c>
      <c r="O111" s="75" t="e">
        <f>'[3]9.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'[2]9. Vzdelávanie'!$Q$36</f>
        <v>0</v>
      </c>
      <c r="V111" s="73" t="e">
        <f>'[3]9. Vzdelávanie'!$I$53</f>
        <v>#REF!</v>
      </c>
      <c r="W111" s="75" t="e">
        <f>'[3]9.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'[3]9. Vzdelávanie'!#REF!</f>
        <v>#REF!</v>
      </c>
      <c r="G112" s="74" t="e">
        <f>'[3]9.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'[3]9. Vzdelávanie'!#REF!</f>
        <v>#REF!</v>
      </c>
      <c r="N112" s="73" t="e">
        <f>'[3]9. Vzdelávanie'!#REF!</f>
        <v>#REF!</v>
      </c>
      <c r="O112" s="75" t="e">
        <f>'[3]9.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'[2]9. Vzdelávanie'!$Q$37</f>
        <v>1055759</v>
      </c>
      <c r="V112" s="73">
        <f>'[3]9. Vzdelávanie'!$I$54</f>
        <v>4320</v>
      </c>
      <c r="W112" s="75" t="e">
        <f>'[3]9.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'[3]9. Vzdelávanie'!#REF!</f>
        <v>#REF!</v>
      </c>
      <c r="G113" s="74" t="e">
        <f>'[3]9.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'[3]9. Vzdelávanie'!#REF!</f>
        <v>#REF!</v>
      </c>
      <c r="N113" s="73" t="e">
        <f>'[3]9. Vzdelávanie'!#REF!</f>
        <v>#REF!</v>
      </c>
      <c r="O113" s="75" t="e">
        <f>'[3]9.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'[2]9. Vzdelávanie'!$Q$38</f>
        <v>0</v>
      </c>
      <c r="V113" s="73">
        <f>'[2]9. Vzdelávanie'!$R$38</f>
        <v>0</v>
      </c>
      <c r="W113" s="75">
        <f>'[3]9.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'[3]9. Vzdelávanie'!#REF!</f>
        <v>#REF!</v>
      </c>
      <c r="G115" s="74" t="e">
        <f>'[3]9.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'[3]9. Vzdelávanie'!#REF!</f>
        <v>#REF!</v>
      </c>
      <c r="N115" s="73" t="e">
        <f>'[3]9. Vzdelávanie'!#REF!</f>
        <v>#REF!</v>
      </c>
      <c r="O115" s="75" t="e">
        <f>'[3]9.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'[2]9. Vzdelávanie'!$Q$46</f>
        <v>403289</v>
      </c>
      <c r="V115" s="73" t="e">
        <f>'[3]9. Vzdelávanie'!$I$59</f>
        <v>#REF!</v>
      </c>
      <c r="W115" s="75" t="e">
        <f>'[3]9.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'[3]9. Vzdelávanie'!#REF!</f>
        <v>#REF!</v>
      </c>
      <c r="G116" s="74" t="e">
        <f>'[3]9.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'[3]9. Vzdelávanie'!#REF!</f>
        <v>#REF!</v>
      </c>
      <c r="N116" s="73" t="e">
        <f>'[3]9. Vzdelávanie'!#REF!</f>
        <v>#REF!</v>
      </c>
      <c r="O116" s="75" t="e">
        <f>'[3]9.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'[2]9. Vzdelávanie'!#REF!</f>
        <v>#REF!</v>
      </c>
      <c r="V116" s="73" t="e">
        <f>'[3]9. Vzdelávanie'!$I$60</f>
        <v>#REF!</v>
      </c>
      <c r="W116" s="75" t="e">
        <f>'[3]9.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'[3]9. Vzdelávanie'!#REF!</f>
        <v>#REF!</v>
      </c>
      <c r="G117" s="173" t="e">
        <f>'[3]9.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'[3]9. Vzdelávanie'!#REF!</f>
        <v>#REF!</v>
      </c>
      <c r="N117" s="172" t="e">
        <f>'[3]9. Vzdelávanie'!#REF!</f>
        <v>#REF!</v>
      </c>
      <c r="O117" s="174" t="e">
        <f>'[3]9.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'[3]9. Vzdelávanie'!$H$61</f>
        <v>212760</v>
      </c>
      <c r="V117" s="172">
        <f>'[3]9. Vzdelávanie'!$I$61</f>
        <v>0</v>
      </c>
      <c r="W117" s="174">
        <f>'[3]9.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'[3]9.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'[3]9. Vzdelávanie'!#REF!</f>
        <v>#REF!</v>
      </c>
      <c r="N118" s="172" t="e">
        <f>'[3]9. Vzdelávanie'!#REF!</f>
        <v>#REF!</v>
      </c>
      <c r="O118" s="174" t="e">
        <f>'[3]9.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'[3]9. Vzdelávanie'!$H$72</f>
        <v>243590</v>
      </c>
      <c r="V118" s="172" t="e">
        <f>'[3]9. Vzdelávanie'!$I$72</f>
        <v>#REF!</v>
      </c>
      <c r="W118" s="174" t="e">
        <f>'[3]9.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'[3]9. Vzdelávanie'!#REF!</f>
        <v>#REF!</v>
      </c>
      <c r="G119" s="180" t="e">
        <f>'[3]9.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'[3]9. Vzdelávanie'!#REF!</f>
        <v>#REF!</v>
      </c>
      <c r="N119" s="179" t="e">
        <f>'[3]9. Vzdelávanie'!#REF!</f>
        <v>#REF!</v>
      </c>
      <c r="O119" s="188" t="e">
        <f>'[3]9.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'[3]9. Vzdelávanie'!$H$73</f>
        <v>0</v>
      </c>
      <c r="V119" s="179">
        <f>'[3]9. Vzdelávanie'!$I$73</f>
        <v>0</v>
      </c>
      <c r="W119" s="188">
        <f>'[3]9.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'[3]10. Šport'!#REF!</f>
        <v>#REF!</v>
      </c>
      <c r="G121" s="173" t="e">
        <f>'[3]10.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'[3]10. Šport'!#REF!</f>
        <v>#REF!</v>
      </c>
      <c r="N121" s="172" t="e">
        <f>'[3]10. Šport'!#REF!</f>
        <v>#REF!</v>
      </c>
      <c r="O121" s="174" t="e">
        <f>'[3]10.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'[3]10. Šport'!$H$4</f>
        <v>500</v>
      </c>
      <c r="V121" s="172">
        <f>'[3]10. Šport'!$I$4</f>
        <v>0</v>
      </c>
      <c r="W121" s="174">
        <f>'[3]10.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'[3]10. Šport'!#REF!</f>
        <v>#REF!</v>
      </c>
      <c r="G123" s="74" t="e">
        <f>'[3]10.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'[3]10. Šport'!#REF!</f>
        <v>#REF!</v>
      </c>
      <c r="N123" s="73" t="e">
        <f>'[3]10. Šport'!#REF!</f>
        <v>#REF!</v>
      </c>
      <c r="O123" s="75" t="e">
        <f>'[3]10.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'[3]10. Šport'!$H$9</f>
        <v>42170</v>
      </c>
      <c r="V123" s="73">
        <f>'[3]10. Šport'!$I$9</f>
        <v>0</v>
      </c>
      <c r="W123" s="75">
        <f>'[3]10.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'[3]10. Šport'!#REF!</f>
        <v>#REF!</v>
      </c>
      <c r="H124" s="72" t="e">
        <f t="shared" si="59"/>
        <v>#REF!</v>
      </c>
      <c r="I124" s="73">
        <v>27121</v>
      </c>
      <c r="J124" s="73" t="e">
        <f>'[3]10. Šport'!#REF!</f>
        <v>#REF!</v>
      </c>
      <c r="K124" s="75">
        <v>0</v>
      </c>
      <c r="L124" s="72" t="e">
        <f t="shared" si="60"/>
        <v>#REF!</v>
      </c>
      <c r="M124" s="73" t="e">
        <f>'[3]10. Šport'!#REF!</f>
        <v>#REF!</v>
      </c>
      <c r="N124" s="73" t="e">
        <f>'[3]10. Šport'!#REF!</f>
        <v>#REF!</v>
      </c>
      <c r="O124" s="75" t="e">
        <f>'[3]10.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'[3]10. Šport'!$H$23</f>
        <v>45954</v>
      </c>
      <c r="V124" s="73">
        <f>'[3]10. Šport'!$I$23</f>
        <v>0</v>
      </c>
      <c r="W124" s="75">
        <f>'[3]10.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'[3]10. Šport'!#REF!</f>
        <v>#REF!</v>
      </c>
      <c r="G125" s="74" t="e">
        <f>'[3]10.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'[3]10. Šport'!#REF!</f>
        <v>#REF!</v>
      </c>
      <c r="N125" s="73" t="e">
        <f>'[3]10. Šport'!#REF!</f>
        <v>#REF!</v>
      </c>
      <c r="O125" s="75" t="e">
        <f>'[3]10.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'[3]10. Šport'!$H$36</f>
        <v>18820</v>
      </c>
      <c r="V125" s="73">
        <f>'[3]10. Šport'!$I$36</f>
        <v>0</v>
      </c>
      <c r="W125" s="75">
        <f>'[3]10.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'[3]10. Šport'!#REF!</f>
        <v>#REF!</v>
      </c>
      <c r="G126" s="74" t="e">
        <f>'[3]10.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'[3]10. Šport'!#REF!</f>
        <v>#REF!</v>
      </c>
      <c r="N126" s="73" t="e">
        <f>'[3]10. Šport'!#REF!</f>
        <v>#REF!</v>
      </c>
      <c r="O126" s="75" t="e">
        <f>'[3]10.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'[2]10. Šport'!$Q$38</f>
        <v>16800</v>
      </c>
      <c r="V126" s="73">
        <f>'[3]10. Šport'!$I$44</f>
        <v>0</v>
      </c>
      <c r="W126" s="75">
        <f>'[3]10.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'[3]10. Šport'!#REF!</f>
        <v>#REF!</v>
      </c>
      <c r="G127" s="74" t="e">
        <f>'[3]10.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'[3]10. Šport'!#REF!</f>
        <v>#REF!</v>
      </c>
      <c r="N127" s="73" t="e">
        <f>'[3]10. Šport'!#REF!</f>
        <v>#REF!</v>
      </c>
      <c r="O127" s="75" t="e">
        <f>'[3]10.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'[3]10. Šport'!$H$57</f>
        <v>1900</v>
      </c>
      <c r="V127" s="73">
        <f>'[3]10. Šport'!$I$57</f>
        <v>0</v>
      </c>
      <c r="W127" s="75">
        <f>'[3]10.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'[2]10. Šport'!$Q$56</f>
        <v>12000</v>
      </c>
      <c r="V128" s="82">
        <f>'[3]10. Šport'!$I$63</f>
        <v>0</v>
      </c>
      <c r="W128" s="83">
        <f>'[3]10.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'[3]10. Šport'!#REF!</f>
        <v>#REF!</v>
      </c>
      <c r="G129" s="180" t="e">
        <f>'[3]10.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'[3]10. Šport'!#REF!</f>
        <v>#REF!</v>
      </c>
      <c r="N129" s="179" t="e">
        <f>'[3]10. Šport'!#REF!</f>
        <v>#REF!</v>
      </c>
      <c r="O129" s="188" t="e">
        <f>'[3]10.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'[3]10. Šport'!$H$67</f>
        <v>#REF!</v>
      </c>
      <c r="V129" s="179" t="e">
        <f>'[3]10. Šport'!$I$67</f>
        <v>#REF!</v>
      </c>
      <c r="W129" s="188" t="e">
        <f>'[3]10.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'[3]11. Kultúra'!#REF!</f>
        <v>#REF!</v>
      </c>
      <c r="G131" s="173" t="e">
        <f>'[3]11. Kultúra'!#REF!</f>
        <v>#REF!</v>
      </c>
      <c r="H131" s="171" t="e">
        <f>SUM(I131:K131)</f>
        <v>#REF!</v>
      </c>
      <c r="I131" s="172" t="e">
        <f>'[3]11. Kultúra'!#REF!</f>
        <v>#REF!</v>
      </c>
      <c r="J131" s="172" t="e">
        <f>'[3]11. Kultúra'!#REF!</f>
        <v>#REF!</v>
      </c>
      <c r="K131" s="174" t="e">
        <f>'[3]11. Kultúra'!#REF!</f>
        <v>#REF!</v>
      </c>
      <c r="L131" s="175" t="e">
        <f>SUM(M131:O131)</f>
        <v>#REF!</v>
      </c>
      <c r="M131" s="172" t="e">
        <f>'[3]11. Kultúra'!#REF!</f>
        <v>#REF!</v>
      </c>
      <c r="N131" s="172" t="e">
        <f>'[3]11. Kultúra'!#REF!</f>
        <v>#REF!</v>
      </c>
      <c r="O131" s="174" t="e">
        <f>'[3]11.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'[3]11. Kultúra'!$H$4</f>
        <v>2940</v>
      </c>
      <c r="V131" s="172">
        <f>'[3]11. Kultúra'!$I$4</f>
        <v>0</v>
      </c>
      <c r="W131" s="174">
        <f>'[3]11.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'[3]11. Kultúra'!#REF!</f>
        <v>#REF!</v>
      </c>
      <c r="H133" s="72" t="e">
        <f t="shared" ref="H133:H138" si="65">SUM(I133:K133)</f>
        <v>#REF!</v>
      </c>
      <c r="I133" s="73" t="e">
        <f>'[3]11. Kultúra'!#REF!</f>
        <v>#REF!</v>
      </c>
      <c r="J133" s="73" t="e">
        <f>'[3]11. Kultúra'!#REF!</f>
        <v>#REF!</v>
      </c>
      <c r="K133" s="75" t="e">
        <f>'[3]11. Kultúra'!#REF!</f>
        <v>#REF!</v>
      </c>
      <c r="L133" s="76" t="e">
        <f t="shared" ref="L133:L138" si="66">SUM(M133:O133)</f>
        <v>#REF!</v>
      </c>
      <c r="M133" s="73" t="e">
        <f>'[3]11. Kultúra'!#REF!</f>
        <v>#REF!</v>
      </c>
      <c r="N133" s="73" t="e">
        <f>'[3]11. Kultúra'!#REF!</f>
        <v>#REF!</v>
      </c>
      <c r="O133" s="75" t="e">
        <f>'[3]11.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'[3]11. Kultúra'!$H$24</f>
        <v>109400</v>
      </c>
      <c r="V133" s="73">
        <f>'[3]11. Kultúra'!$I$24</f>
        <v>0</v>
      </c>
      <c r="W133" s="75">
        <f>'[3]11.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'[3]11. Kultúra'!#REF!</f>
        <v>#REF!</v>
      </c>
      <c r="G134" s="74" t="e">
        <f>'[3]11. Kultúra'!#REF!</f>
        <v>#REF!</v>
      </c>
      <c r="H134" s="72" t="e">
        <f t="shared" si="65"/>
        <v>#REF!</v>
      </c>
      <c r="I134" s="73" t="e">
        <f>'[3]11. Kultúra'!#REF!</f>
        <v>#REF!</v>
      </c>
      <c r="J134" s="73" t="e">
        <f>'[3]11. Kultúra'!#REF!</f>
        <v>#REF!</v>
      </c>
      <c r="K134" s="75" t="e">
        <f>'[3]11. Kultúra'!#REF!</f>
        <v>#REF!</v>
      </c>
      <c r="L134" s="76" t="e">
        <f t="shared" si="66"/>
        <v>#REF!</v>
      </c>
      <c r="M134" s="73" t="e">
        <f>'[3]11. Kultúra'!#REF!</f>
        <v>#REF!</v>
      </c>
      <c r="N134" s="73" t="e">
        <f>'[3]11. Kultúra'!#REF!</f>
        <v>#REF!</v>
      </c>
      <c r="O134" s="75" t="e">
        <f>'[3]11.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'[3]11. Kultúra'!$H$30</f>
        <v>2355</v>
      </c>
      <c r="V134" s="73">
        <f>'[3]11. Kultúra'!$I$30</f>
        <v>0</v>
      </c>
      <c r="W134" s="75">
        <f>'[3]11.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'[3]11. Kultúra'!#REF!</f>
        <v>#REF!</v>
      </c>
      <c r="H135" s="72" t="e">
        <f t="shared" si="65"/>
        <v>#REF!</v>
      </c>
      <c r="I135" s="73" t="e">
        <f>'[3]11. Kultúra'!#REF!</f>
        <v>#REF!</v>
      </c>
      <c r="J135" s="73" t="e">
        <f>'[3]11. Kultúra'!#REF!</f>
        <v>#REF!</v>
      </c>
      <c r="K135" s="75" t="e">
        <f>'[3]11. Kultúra'!#REF!</f>
        <v>#REF!</v>
      </c>
      <c r="L135" s="76" t="e">
        <f t="shared" si="66"/>
        <v>#REF!</v>
      </c>
      <c r="M135" s="73" t="e">
        <f>'[3]11. Kultúra'!#REF!</f>
        <v>#REF!</v>
      </c>
      <c r="N135" s="73" t="e">
        <f>'[3]11. Kultúra'!#REF!</f>
        <v>#REF!</v>
      </c>
      <c r="O135" s="75" t="e">
        <f>'[3]11.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'[3]11. Kultúra'!$H$43</f>
        <v>306185</v>
      </c>
      <c r="V135" s="73">
        <f>'[3]11. Kultúra'!$I$43</f>
        <v>65088</v>
      </c>
      <c r="W135" s="75">
        <f>'[3]11.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'[3]11. Kultúra'!#REF!</f>
        <v>#REF!</v>
      </c>
      <c r="G136" s="74" t="e">
        <f>'[3]11. Kultúra'!#REF!</f>
        <v>#REF!</v>
      </c>
      <c r="H136" s="72" t="e">
        <f t="shared" si="65"/>
        <v>#REF!</v>
      </c>
      <c r="I136" s="73" t="e">
        <f>'[3]11. Kultúra'!#REF!</f>
        <v>#REF!</v>
      </c>
      <c r="J136" s="73" t="e">
        <f>'[3]11. Kultúra'!#REF!</f>
        <v>#REF!</v>
      </c>
      <c r="K136" s="75" t="e">
        <f>'[3]11. Kultúra'!#REF!</f>
        <v>#REF!</v>
      </c>
      <c r="L136" s="76" t="e">
        <f t="shared" si="66"/>
        <v>#REF!</v>
      </c>
      <c r="M136" s="73">
        <v>19300</v>
      </c>
      <c r="N136" s="73" t="e">
        <f>'[3]11. Kultúra'!#REF!</f>
        <v>#REF!</v>
      </c>
      <c r="O136" s="75" t="e">
        <f>'[3]11.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'[3]11. Kultúra'!$H$141</f>
        <v>#REF!</v>
      </c>
      <c r="V136" s="73" t="e">
        <f>'[3]11. Kultúra'!$I$140</f>
        <v>#REF!</v>
      </c>
      <c r="W136" s="75" t="e">
        <f>'[3]11.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'[3]11. Kultúra'!#REF!</f>
        <v>#REF!</v>
      </c>
      <c r="H137" s="171" t="e">
        <f t="shared" si="65"/>
        <v>#REF!</v>
      </c>
      <c r="I137" s="172" t="e">
        <f>'[3]11. Kultúra'!#REF!</f>
        <v>#REF!</v>
      </c>
      <c r="J137" s="172" t="e">
        <f>'[3]11. Kultúra'!#REF!</f>
        <v>#REF!</v>
      </c>
      <c r="K137" s="174" t="e">
        <f>'[3]11. Kultúra'!#REF!</f>
        <v>#REF!</v>
      </c>
      <c r="L137" s="175" t="e">
        <f t="shared" si="66"/>
        <v>#REF!</v>
      </c>
      <c r="M137" s="172">
        <v>3300</v>
      </c>
      <c r="N137" s="172" t="e">
        <f>'[3]11. Kultúra'!#REF!</f>
        <v>#REF!</v>
      </c>
      <c r="O137" s="174" t="e">
        <f>'[3]11.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'[3]11. Kultúra'!$H$156</f>
        <v>300</v>
      </c>
      <c r="V137" s="172" t="e">
        <f>'[3]11. Kultúra'!$I$156</f>
        <v>#REF!</v>
      </c>
      <c r="W137" s="174" t="e">
        <f>'[3]11.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'[3]11. Kultúra'!#REF!</f>
        <v>#REF!</v>
      </c>
      <c r="G138" s="201" t="e">
        <f>'[3]11. Kultúra'!#REF!</f>
        <v>#REF!</v>
      </c>
      <c r="H138" s="202" t="e">
        <f t="shared" si="65"/>
        <v>#REF!</v>
      </c>
      <c r="I138" s="203" t="e">
        <f>'[3]11. Kultúra'!#REF!</f>
        <v>#REF!</v>
      </c>
      <c r="J138" s="203" t="e">
        <f>'[3]11. Kultúra'!#REF!</f>
        <v>#REF!</v>
      </c>
      <c r="K138" s="204" t="e">
        <f>'[3]11. Kultúra'!#REF!</f>
        <v>#REF!</v>
      </c>
      <c r="L138" s="187" t="e">
        <f t="shared" si="66"/>
        <v>#REF!</v>
      </c>
      <c r="M138" s="179">
        <v>0</v>
      </c>
      <c r="N138" s="179" t="e">
        <f>'[3]11. Kultúra'!#REF!</f>
        <v>#REF!</v>
      </c>
      <c r="O138" s="205" t="e">
        <f>'[3]11.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'[3]11. Kultúra'!$H$160</f>
        <v>#REF!</v>
      </c>
      <c r="V138" s="179" t="e">
        <f>'[3]11. Kultúra'!$I$160</f>
        <v>#REF!</v>
      </c>
      <c r="W138" s="205" t="e">
        <f>'[3]11.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'[3]12. Prostredie pre život'!#REF!</f>
        <v>#REF!</v>
      </c>
      <c r="G141" s="74" t="e">
        <f>'[3]12.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'[3]12. Prostredie pre život'!#REF!</f>
        <v>#REF!</v>
      </c>
      <c r="N141" s="73" t="e">
        <f>'[3]12. Prostredie pre život'!#REF!</f>
        <v>#REF!</v>
      </c>
      <c r="O141" s="75" t="e">
        <f>'[3]12.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'[3]12. Prostredie pre život'!$H$5</f>
        <v>117930</v>
      </c>
      <c r="V141" s="73">
        <f>'[3]12. Prostredie pre život'!$I$5</f>
        <v>0</v>
      </c>
      <c r="W141" s="75">
        <f>'[3]12.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'[3]12. Prostredie pre život'!#REF!</f>
        <v>#REF!</v>
      </c>
      <c r="F142" s="73" t="e">
        <f>'[3]12. Prostredie pre život'!#REF!</f>
        <v>#REF!</v>
      </c>
      <c r="G142" s="74" t="e">
        <f>'[3]12.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'[3]12. Prostredie pre život'!#REF!</f>
        <v>#REF!</v>
      </c>
      <c r="N142" s="73" t="e">
        <f>'[3]12. Prostredie pre život'!#REF!</f>
        <v>#REF!</v>
      </c>
      <c r="O142" s="75" t="e">
        <f>'[3]12.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'[3]12. Prostredie pre život'!$H$19</f>
        <v>450</v>
      </c>
      <c r="V142" s="73">
        <f>'[3]12. Prostredie pre život'!$I$19</f>
        <v>0</v>
      </c>
      <c r="W142" s="75">
        <f>'[3]12.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'[3]12.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'[3]12. Prostredie pre život'!#REF!</f>
        <v>#REF!</v>
      </c>
      <c r="O143" s="75" t="e">
        <f>'[3]12.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'[3]12. Prostredie pre život'!$H$21</f>
        <v>151902</v>
      </c>
      <c r="V143" s="73">
        <f>'[3]12. Prostredie pre život'!$I$21</f>
        <v>1921299</v>
      </c>
      <c r="W143" s="75">
        <f>'[3]12.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'[3]12. Prostredie pre život'!#REF!</f>
        <v>#REF!</v>
      </c>
      <c r="G144" s="74" t="e">
        <f>'[3]12.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'[3]12. Prostredie pre život'!#REF!</f>
        <v>#REF!</v>
      </c>
      <c r="N144" s="73" t="e">
        <f>'[3]12. Prostredie pre život'!#REF!</f>
        <v>#REF!</v>
      </c>
      <c r="O144" s="75" t="e">
        <f>'[3]12.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'[3]12. Prostredie pre život'!$H$39</f>
        <v>2850</v>
      </c>
      <c r="V144" s="73">
        <f>'[3]12. Prostredie pre život'!$I$39</f>
        <v>0</v>
      </c>
      <c r="W144" s="75">
        <f>'[3]12.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'[3]12. Prostredie pre život'!#REF!</f>
        <v>#REF!</v>
      </c>
      <c r="G145" s="173" t="e">
        <f>'[3]12.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'[3]12. Prostredie pre život'!#REF!</f>
        <v>#REF!</v>
      </c>
      <c r="N145" s="172" t="e">
        <f>'[3]12. Prostredie pre život'!#REF!</f>
        <v>#REF!</v>
      </c>
      <c r="O145" s="174" t="e">
        <f>'[3]12.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'[3]12. Prostredie pre život'!$H$45</f>
        <v>1825</v>
      </c>
      <c r="V145" s="172">
        <f>'[3]12. Prostredie pre život'!$I$45</f>
        <v>0</v>
      </c>
      <c r="W145" s="174">
        <f>'[3]12.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'[3]12. Prostredie pre život'!#REF!</f>
        <v>#REF!</v>
      </c>
      <c r="G146" s="173" t="e">
        <f>'[3]12.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'[3]12. Prostredie pre život'!#REF!</f>
        <v>#REF!</v>
      </c>
      <c r="N146" s="172" t="e">
        <f>'[3]12. Prostredie pre život'!#REF!</f>
        <v>#REF!</v>
      </c>
      <c r="O146" s="174" t="e">
        <f>'[3]12.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'[3]12. Prostredie pre život'!$H$48</f>
        <v>6840</v>
      </c>
      <c r="V146" s="172">
        <f>'[3]12. Prostredie pre život'!$I$48</f>
        <v>7000</v>
      </c>
      <c r="W146" s="174">
        <f>'[3]12.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'[3]12. Prostredie pre život'!#REF!</f>
        <v>#REF!</v>
      </c>
      <c r="G147" s="173" t="e">
        <f>'[3]12.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'[3]12. Prostredie pre život'!#REF!</f>
        <v>#REF!</v>
      </c>
      <c r="N147" s="172" t="e">
        <f>'[3]12. Prostredie pre život'!#REF!</f>
        <v>#REF!</v>
      </c>
      <c r="O147" s="174" t="e">
        <f>'[3]12.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'[3]12. Prostredie pre život'!$H$60</f>
        <v>75</v>
      </c>
      <c r="V147" s="172">
        <f>'[3]12. Prostredie pre život'!$I$60</f>
        <v>0</v>
      </c>
      <c r="W147" s="174">
        <f>'[3]12.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'[3]12. Prostredie pre život'!#REF!</f>
        <v>#REF!</v>
      </c>
      <c r="G148" s="173" t="e">
        <f>'[3]12.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'[3]12. Prostredie pre život'!#REF!</f>
        <v>#REF!</v>
      </c>
      <c r="N148" s="172" t="e">
        <f>'[3]12. Prostredie pre život'!#REF!</f>
        <v>#REF!</v>
      </c>
      <c r="O148" s="174" t="e">
        <f>'[3]12.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'[3]12. Prostredie pre život'!$H$62</f>
        <v>19460</v>
      </c>
      <c r="V148" s="172">
        <f>'[3]12. Prostredie pre život'!$I$62</f>
        <v>0</v>
      </c>
      <c r="W148" s="174">
        <f>'[3]12.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'[3]12.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'[3]12. Prostredie pre život'!#REF!</f>
        <v>#REF!</v>
      </c>
      <c r="N149" s="181" t="e">
        <f>'[3]12. Prostredie pre život'!#REF!</f>
        <v>#REF!</v>
      </c>
      <c r="O149" s="182" t="e">
        <f>'[3]12.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'[3]12. Prostredie pre život'!$H$69</f>
        <v>28950</v>
      </c>
      <c r="V149" s="181">
        <f>'[3]12. Prostredie pre život'!$I$69</f>
        <v>8480</v>
      </c>
      <c r="W149" s="182">
        <f>'[3]12.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'[3]12. Prostredie pre život'!#REF!</f>
        <v>#REF!</v>
      </c>
      <c r="G150" s="180" t="e">
        <f>'[3]12.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'[3]12. Prostredie pre život'!#REF!</f>
        <v>#REF!</v>
      </c>
      <c r="N150" s="179" t="e">
        <f>'[3]12. Prostredie pre život'!#REF!</f>
        <v>#REF!</v>
      </c>
      <c r="O150" s="188" t="e">
        <f>'[3]12.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'[3]12. Prostredie pre život'!$H$98</f>
        <v>0</v>
      </c>
      <c r="V150" s="179">
        <f>'[3]12. Prostredie pre život'!$I$98</f>
        <v>0</v>
      </c>
      <c r="W150" s="188">
        <f>'[3]12.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'[3]13. Sociálna starostlivosť'!#REF!</f>
        <v>#REF!</v>
      </c>
      <c r="G153" s="74" t="e">
        <f>'[3]13.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'[3]13. Sociálna starostlivosť'!#REF!</f>
        <v>#REF!</v>
      </c>
      <c r="O153" s="75" t="e">
        <f>'[3]13.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'[3]13. Sociálna starostlivosť'!$H$5</f>
        <v>0</v>
      </c>
      <c r="V153" s="73">
        <f>'[3]13. Sociálna starostlivosť'!$I$5</f>
        <v>0</v>
      </c>
      <c r="W153" s="75" t="e">
        <f>'[3]13.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'[3]13. Sociálna starostlivosť'!#REF!</f>
        <v>#REF!</v>
      </c>
      <c r="G154" s="74" t="e">
        <f>'[3]13.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'[3]13. Sociálna starostlivosť'!#REF!</f>
        <v>#REF!</v>
      </c>
      <c r="O154" s="75" t="e">
        <f>'[3]13.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'[3]13. Sociálna starostlivosť'!$H$7</f>
        <v>0</v>
      </c>
      <c r="V154" s="73" t="e">
        <f>'[3]13. Sociálna starostlivosť'!$I$7</f>
        <v>#REF!</v>
      </c>
      <c r="W154" s="75" t="e">
        <f>'[3]13.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'[3]13. Sociálna starostlivosť'!#REF!</f>
        <v>#REF!</v>
      </c>
      <c r="G155" s="74" t="e">
        <f>'[3]13.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'[3]13. Sociálna starostlivosť'!#REF!</f>
        <v>#REF!</v>
      </c>
      <c r="N155" s="73" t="e">
        <f>'[3]13. Sociálna starostlivosť'!#REF!</f>
        <v>#REF!</v>
      </c>
      <c r="O155" s="75" t="e">
        <f>'[3]13.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'[3]13. Sociálna starostlivosť'!$H$8</f>
        <v>2000</v>
      </c>
      <c r="V155" s="73">
        <f>'[3]13. Sociálna starostlivosť'!$I$8</f>
        <v>0</v>
      </c>
      <c r="W155" s="75">
        <f>'[3]13.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'[3]13. Sociálna starostlivosť'!#REF!</f>
        <v>#REF!</v>
      </c>
      <c r="G157" s="74" t="e">
        <f>'[3]13.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'[3]13. Sociálna starostlivosť'!#REF!</f>
        <v>#REF!</v>
      </c>
      <c r="O157" s="75" t="e">
        <f>'[3]13.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'[3]13. Sociálna starostlivosť'!$H$11</f>
        <v>155</v>
      </c>
      <c r="V157" s="73">
        <f>'[3]13. Sociálna starostlivosť'!$I$11</f>
        <v>0</v>
      </c>
      <c r="W157" s="75">
        <f>'[3]13.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'[3]13. Sociálna starostlivosť'!#REF!</f>
        <v>#REF!</v>
      </c>
      <c r="G158" s="74" t="e">
        <f>'[3]13.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'[3]13. Sociálna starostlivosť'!#REF!</f>
        <v>#REF!</v>
      </c>
      <c r="O158" s="75" t="e">
        <f>'[3]13.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'[3]13. Sociálna starostlivosť'!$H$17</f>
        <v>0</v>
      </c>
      <c r="V158" s="73" t="e">
        <f>'[3]13. Sociálna starostlivosť'!$I$17</f>
        <v>#REF!</v>
      </c>
      <c r="W158" s="75" t="e">
        <f>'[3]13.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'[3]13. Sociálna starostlivosť'!#REF!</f>
        <v>#REF!</v>
      </c>
      <c r="G159" s="74" t="e">
        <f>'[3]13.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'[3]13. Sociálna starostlivosť'!#REF!</f>
        <v>#REF!</v>
      </c>
      <c r="N159" s="73" t="e">
        <f>'[3]13. Sociálna starostlivosť'!#REF!</f>
        <v>#REF!</v>
      </c>
      <c r="O159" s="75" t="e">
        <f>'[3]13.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'[3]13. Sociálna starostlivosť'!$H$18</f>
        <v>7695</v>
      </c>
      <c r="V159" s="73">
        <f>'[3]13. Sociálna starostlivosť'!$I$18</f>
        <v>0</v>
      </c>
      <c r="W159" s="75">
        <f>'[3]13.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'[3]13. Sociálna starostlivosť'!#REF!</f>
        <v>#REF!</v>
      </c>
      <c r="G160" s="74" t="e">
        <f>'[3]13.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'[3]13. Sociálna starostlivosť'!#REF!</f>
        <v>#REF!</v>
      </c>
      <c r="O160" s="75" t="e">
        <f>'[3]13.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'[3]13. Sociálna starostlivosť'!$H$20</f>
        <v>0</v>
      </c>
      <c r="V160" s="73" t="e">
        <f>'[3]13. Sociálna starostlivosť'!$I$20</f>
        <v>#REF!</v>
      </c>
      <c r="W160" s="75" t="e">
        <f>'[3]13.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'[3]13. Sociálna starostlivosť'!#REF!</f>
        <v>#REF!</v>
      </c>
      <c r="G162" s="74" t="e">
        <f>'[3]13.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'[3]13. Sociálna starostlivosť'!#REF!</f>
        <v>#REF!</v>
      </c>
      <c r="O162" s="75" t="e">
        <f>'[3]13.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'[3]13. Sociálna starostlivosť'!$H$22</f>
        <v>0</v>
      </c>
      <c r="V162" s="73" t="e">
        <f>'[3]13. Sociálna starostlivosť'!$I$22</f>
        <v>#REF!</v>
      </c>
      <c r="W162" s="75" t="e">
        <f>'[3]13.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'[3]13. Sociálna starostlivosť'!#REF!</f>
        <v>#REF!</v>
      </c>
      <c r="G163" s="74" t="e">
        <f>'[3]13.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'[3]13. Sociálna starostlivosť'!#REF!</f>
        <v>#REF!</v>
      </c>
      <c r="O163" s="75" t="e">
        <f>'[3]13.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'[3]13. Sociálna starostlivosť'!$H$24</f>
        <v>0</v>
      </c>
      <c r="V163" s="73" t="e">
        <f>'[3]13. Sociálna starostlivosť'!$I$24</f>
        <v>#REF!</v>
      </c>
      <c r="W163" s="75" t="e">
        <f>'[3]13.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'[3]13.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'[3]13.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'[3]13. Sociálna starostlivosť'!$H$25</f>
        <v>0</v>
      </c>
      <c r="V164" s="73">
        <f>'[3]13. Sociálna starostlivosť'!$I$25</f>
        <v>2032610</v>
      </c>
      <c r="W164" s="75">
        <f>'[3]13.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'[3]13.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'[3]13. Sociálna starostlivosť'!#REF!</f>
        <v>#REF!</v>
      </c>
      <c r="O166" s="75" t="e">
        <f>'[3]13.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'[3]13. Sociálna starostlivosť'!$H$38</f>
        <v>0</v>
      </c>
      <c r="V166" s="73">
        <f>'[3]13. Sociálna starostlivosť'!$I$38</f>
        <v>0</v>
      </c>
      <c r="W166" s="75">
        <f>'[3]13.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'[3]13. Sociálna starostlivosť'!#REF!</f>
        <v>#REF!</v>
      </c>
      <c r="G167" s="74" t="e">
        <f>'[3]13.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'[3]13. Sociálna starostlivosť'!#REF!</f>
        <v>#REF!</v>
      </c>
      <c r="N167" s="73" t="e">
        <f>'[3]13. Sociálna starostlivosť'!#REF!</f>
        <v>#REF!</v>
      </c>
      <c r="O167" s="75" t="e">
        <f>'[3]13.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'[3]13. Sociálna starostlivosť'!$H$41</f>
        <v>0</v>
      </c>
      <c r="V167" s="73">
        <f>'[3]13. Sociálna starostlivosť'!$I$41</f>
        <v>0</v>
      </c>
      <c r="W167" s="75">
        <f>'[3]13.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'[3]13. Sociálna starostlivosť'!#REF!</f>
        <v>#REF!</v>
      </c>
      <c r="G168" s="74" t="e">
        <f>'[3]13.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'[3]13. Sociálna starostlivosť'!#REF!</f>
        <v>#REF!</v>
      </c>
      <c r="O168" s="75" t="e">
        <f>'[3]13.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'[3]13. Sociálna starostlivosť'!$H$43</f>
        <v>0</v>
      </c>
      <c r="V168" s="73" t="e">
        <f>'[3]13. Sociálna starostlivosť'!$I$43</f>
        <v>#REF!</v>
      </c>
      <c r="W168" s="75" t="e">
        <f>'[3]13.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'[3]13. Sociálna starostlivosť'!#REF!</f>
        <v>#REF!</v>
      </c>
      <c r="G169" s="173" t="e">
        <f>'[3]13.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'[3]13. Sociálna starostlivosť'!#REF!</f>
        <v>#REF!</v>
      </c>
      <c r="O169" s="174" t="e">
        <f>'[3]13.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'[3]13. Sociálna starostlivosť'!$H$44</f>
        <v>0</v>
      </c>
      <c r="V169" s="172" t="e">
        <f>'[3]13. Sociálna starostlivosť'!$I$44</f>
        <v>#REF!</v>
      </c>
      <c r="W169" s="174" t="e">
        <f>'[3]13.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'[3]13. Sociálna starostlivosť'!#REF!</f>
        <v>#REF!</v>
      </c>
      <c r="G170" s="173" t="e">
        <f>'[3]13.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'[3]13. Sociálna starostlivosť'!#REF!</f>
        <v>#REF!</v>
      </c>
      <c r="N170" s="172" t="e">
        <f>'[3]13. Sociálna starostlivosť'!#REF!</f>
        <v>#REF!</v>
      </c>
      <c r="O170" s="174" t="e">
        <f>'[3]13.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'[3]13. Sociálna starostlivosť'!$H$45</f>
        <v>16468</v>
      </c>
      <c r="V170" s="172">
        <f>'[3]13. Sociálna starostlivosť'!$I$45</f>
        <v>0</v>
      </c>
      <c r="W170" s="174">
        <f>'[3]13.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'[3]13. Sociálna starostlivosť'!#REF!</f>
        <v>#REF!</v>
      </c>
      <c r="G172" s="74" t="e">
        <f>'[3]13.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'[3]13. Sociálna starostlivosť'!#REF!</f>
        <v>#REF!</v>
      </c>
      <c r="N172" s="73" t="e">
        <f>'[3]13. Sociálna starostlivosť'!#REF!</f>
        <v>#REF!</v>
      </c>
      <c r="O172" s="75" t="e">
        <f>'[3]13.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'[3]13. Sociálna starostlivosť'!$H$54</f>
        <v>150</v>
      </c>
      <c r="V172" s="73" t="e">
        <f>'[3]13. Sociálna starostlivosť'!$I$54</f>
        <v>#REF!</v>
      </c>
      <c r="W172" s="75" t="e">
        <f>'[3]13.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'[3]13. Sociálna starostlivosť'!#REF!</f>
        <v>#REF!</v>
      </c>
      <c r="G173" s="180" t="e">
        <f>'[3]13. Sociálna starostlivosť'!#REF!</f>
        <v>#REF!</v>
      </c>
      <c r="H173" s="178" t="e">
        <f>SUM(I173:K173)</f>
        <v>#REF!</v>
      </c>
      <c r="I173" s="179" t="e">
        <f>'[3]13.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'[3]13. Sociálna starostlivosť'!#REF!</f>
        <v>#REF!</v>
      </c>
      <c r="N173" s="179" t="e">
        <f>'[3]13. Sociálna starostlivosť'!#REF!</f>
        <v>#REF!</v>
      </c>
      <c r="O173" s="188" t="e">
        <f>'[3]13.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'[3]13. Sociálna starostlivosť'!$H$75</f>
        <v>1300</v>
      </c>
      <c r="V173" s="179" t="e">
        <f>'[3]13. Sociálna starostlivosť'!$I$75</f>
        <v>#REF!</v>
      </c>
      <c r="W173" s="188" t="e">
        <f>'[3]13.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'[3]14.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'[3]14. Bývanie'!#REF!</f>
        <v>#REF!</v>
      </c>
      <c r="N174" s="164" t="e">
        <f>'[3]14. Bývanie'!#REF!</f>
        <v>#REF!</v>
      </c>
      <c r="O174" s="164" t="e">
        <f>'[3]14.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'[3]14. Bývanie'!$H$18</f>
        <v>329843</v>
      </c>
      <c r="V174" s="164">
        <f>'[3]14. Bývanie'!$I$18</f>
        <v>0</v>
      </c>
      <c r="W174" s="164">
        <f>'[3]14.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'[3]15.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'[3]15. Administratíva'!#REF!</f>
        <v>#REF!</v>
      </c>
      <c r="L176" s="76" t="e">
        <f>SUM(M176:O176)</f>
        <v>#REF!</v>
      </c>
      <c r="M176" s="73" t="e">
        <f>'[3]15. Administratíva'!#REF!</f>
        <v>#REF!</v>
      </c>
      <c r="N176" s="73" t="e">
        <f>'[3]15. Administratíva'!#REF!</f>
        <v>#REF!</v>
      </c>
      <c r="O176" s="75" t="e">
        <f>'[3]15.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'[3]15. Administratíva'!$H$89</f>
        <v>1343</v>
      </c>
      <c r="V176" s="73" t="e">
        <f>'[3]15. Administratíva'!$I$89</f>
        <v>#REF!</v>
      </c>
      <c r="W176" s="75" t="e">
        <f>'[3]15.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'[3]15. Administratíva'!#REF!</f>
        <v>#REF!</v>
      </c>
      <c r="F177" s="73" t="e">
        <f>'[3]15.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'[3]15. Administratíva'!#REF!</f>
        <v>#REF!</v>
      </c>
      <c r="N177" s="73" t="e">
        <f>'[3]15. Administratíva'!#REF!</f>
        <v>#REF!</v>
      </c>
      <c r="O177" s="75" t="e">
        <f>'[3]15.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'[3]15. Administratíva'!$H$91</f>
        <v>#REF!</v>
      </c>
      <c r="V177" s="73" t="e">
        <f>'[3]15. Administratíva'!$I$91</f>
        <v>#REF!</v>
      </c>
      <c r="W177" s="75" t="e">
        <f>'[3]15.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'[3]15. Administratíva'!#REF!</f>
        <v>#REF!</v>
      </c>
      <c r="G178" s="81" t="e">
        <f>'[3]15.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'[3]15. Administratíva'!#REF!</f>
        <v>#REF!</v>
      </c>
      <c r="O178" s="90" t="e">
        <f>'[3]15.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'[2]15. Administratíva'!$Q$4</f>
        <v>1303806</v>
      </c>
      <c r="V178" s="80">
        <f>'[3]15. Administratíva'!$I$4</f>
        <v>0</v>
      </c>
      <c r="W178" s="90">
        <f>'[3]15.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25" t="s">
        <v>392</v>
      </c>
      <c r="B1" s="725"/>
      <c r="C1" s="725"/>
      <c r="D1" s="725"/>
      <c r="E1" s="725"/>
      <c r="F1" s="725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2" width="21.28515625" style="101" bestFit="1" customWidth="1"/>
    <col min="3" max="3" width="22.140625" style="101" customWidth="1"/>
    <col min="4" max="4" width="15.5703125" style="693" customWidth="1"/>
    <col min="5" max="11" width="15.5703125" style="101" customWidth="1"/>
    <col min="12" max="244" width="9.140625" style="101" customWidth="1"/>
    <col min="245" max="16384" width="34.28515625" style="101"/>
  </cols>
  <sheetData>
    <row r="1" spans="1:4" ht="20.25" x14ac:dyDescent="0.3">
      <c r="A1" s="728" t="s">
        <v>645</v>
      </c>
      <c r="B1" s="728"/>
      <c r="C1" s="728"/>
    </row>
    <row r="2" spans="1:4" ht="13.5" thickBot="1" x14ac:dyDescent="0.25"/>
    <row r="3" spans="1:4" ht="36.75" thickBot="1" x14ac:dyDescent="0.3">
      <c r="A3" s="330" t="s">
        <v>401</v>
      </c>
      <c r="B3" s="414" t="s">
        <v>627</v>
      </c>
      <c r="C3" s="414" t="s">
        <v>630</v>
      </c>
    </row>
    <row r="4" spans="1:4" ht="20.25" customHeight="1" x14ac:dyDescent="0.25">
      <c r="A4" s="329" t="s">
        <v>402</v>
      </c>
      <c r="B4" s="415">
        <f>'príjmy '!E3</f>
        <v>27467218</v>
      </c>
      <c r="C4" s="415">
        <f>'príjmy '!F3</f>
        <v>13738057.199999999</v>
      </c>
      <c r="D4" s="693">
        <f>C4/B4*100</f>
        <v>50.016194577841844</v>
      </c>
    </row>
    <row r="5" spans="1:4" ht="21.75" customHeight="1" x14ac:dyDescent="0.25">
      <c r="A5" s="105" t="s">
        <v>403</v>
      </c>
      <c r="B5" s="416">
        <f>'výdavky '!E6</f>
        <v>27772955</v>
      </c>
      <c r="C5" s="416">
        <f>'výdavky '!I6</f>
        <v>13597413.909999998</v>
      </c>
      <c r="D5" s="693">
        <f>C5/B5*100</f>
        <v>48.959190370632143</v>
      </c>
    </row>
    <row r="6" spans="1:4" ht="21" customHeight="1" x14ac:dyDescent="0.25">
      <c r="A6" s="105" t="s">
        <v>379</v>
      </c>
      <c r="B6" s="416">
        <f t="shared" ref="B6:C6" si="0">B4-B5</f>
        <v>-305737</v>
      </c>
      <c r="C6" s="416">
        <f t="shared" si="0"/>
        <v>140643.29000000097</v>
      </c>
      <c r="D6" s="693">
        <f>C6/B6*100</f>
        <v>-46.001396625204336</v>
      </c>
    </row>
    <row r="7" spans="1:4" ht="18" x14ac:dyDescent="0.25">
      <c r="A7" s="105"/>
      <c r="B7" s="416"/>
      <c r="C7" s="416"/>
    </row>
    <row r="8" spans="1:4" ht="21.75" customHeight="1" x14ac:dyDescent="0.25">
      <c r="A8" s="105" t="s">
        <v>396</v>
      </c>
      <c r="B8" s="416">
        <f>'príjmy '!E90</f>
        <v>5536072</v>
      </c>
      <c r="C8" s="416">
        <f>'príjmy '!F90</f>
        <v>700048.2</v>
      </c>
      <c r="D8" s="693">
        <f>C8/B8*100</f>
        <v>12.645214874373019</v>
      </c>
    </row>
    <row r="9" spans="1:4" ht="21" customHeight="1" x14ac:dyDescent="0.25">
      <c r="A9" s="105" t="s">
        <v>397</v>
      </c>
      <c r="B9" s="416">
        <f>'výdavky '!F6</f>
        <v>4756040</v>
      </c>
      <c r="C9" s="416">
        <f>'výdavky '!J6</f>
        <v>1460530.19</v>
      </c>
      <c r="D9" s="693">
        <f>C9/B9*100</f>
        <v>30.708955139149374</v>
      </c>
    </row>
    <row r="10" spans="1:4" ht="21.75" customHeight="1" x14ac:dyDescent="0.25">
      <c r="A10" s="105" t="s">
        <v>379</v>
      </c>
      <c r="B10" s="416">
        <f t="shared" ref="B10:C10" si="1">B8-B9</f>
        <v>780032</v>
      </c>
      <c r="C10" s="416">
        <f t="shared" si="1"/>
        <v>-760481.99</v>
      </c>
      <c r="D10" s="693">
        <f>C10/B10*100</f>
        <v>-97.493691284460127</v>
      </c>
    </row>
    <row r="11" spans="1:4" ht="18" x14ac:dyDescent="0.25">
      <c r="A11" s="105"/>
      <c r="B11" s="416"/>
      <c r="C11" s="416"/>
    </row>
    <row r="12" spans="1:4" ht="22.5" customHeight="1" x14ac:dyDescent="0.25">
      <c r="A12" s="105" t="s">
        <v>398</v>
      </c>
      <c r="B12" s="416">
        <f>'príjmy '!E102</f>
        <v>4873650</v>
      </c>
      <c r="C12" s="416">
        <f>'príjmy '!F102</f>
        <v>2637274.48</v>
      </c>
      <c r="D12" s="693">
        <f>C12/B12*100</f>
        <v>54.112923168467162</v>
      </c>
    </row>
    <row r="13" spans="1:4" ht="22.5" customHeight="1" x14ac:dyDescent="0.25">
      <c r="A13" s="105" t="s">
        <v>399</v>
      </c>
      <c r="B13" s="416">
        <f>'výdavky '!G6</f>
        <v>5347945</v>
      </c>
      <c r="C13" s="416">
        <f>'výdavky '!K6</f>
        <v>1909641.5799999998</v>
      </c>
      <c r="D13" s="693">
        <f>C13/B13*100</f>
        <v>35.707950998000165</v>
      </c>
    </row>
    <row r="14" spans="1:4" ht="18.75" thickBot="1" x14ac:dyDescent="0.3">
      <c r="A14" s="108" t="s">
        <v>379</v>
      </c>
      <c r="B14" s="417">
        <f t="shared" ref="B14:C14" si="2">B12-B13</f>
        <v>-474295</v>
      </c>
      <c r="C14" s="417">
        <f t="shared" si="2"/>
        <v>727632.90000000014</v>
      </c>
      <c r="D14" s="693">
        <f>C14/B14*100</f>
        <v>-153.41357172224042</v>
      </c>
    </row>
    <row r="15" spans="1:4" ht="13.5" thickBot="1" x14ac:dyDescent="0.25">
      <c r="A15" s="111"/>
      <c r="B15" s="348"/>
      <c r="C15" s="348"/>
    </row>
    <row r="16" spans="1:4" ht="22.5" customHeight="1" x14ac:dyDescent="0.3">
      <c r="A16" s="255" t="s">
        <v>130</v>
      </c>
      <c r="B16" s="418">
        <f t="shared" ref="B16:C16" si="3">B4+B8+B12</f>
        <v>37876940</v>
      </c>
      <c r="C16" s="418">
        <f t="shared" si="3"/>
        <v>17075379.879999999</v>
      </c>
      <c r="D16" s="693">
        <f>C16/B16*100</f>
        <v>45.081202124564442</v>
      </c>
    </row>
    <row r="17" spans="1:4" ht="27.75" customHeight="1" thickBot="1" x14ac:dyDescent="0.35">
      <c r="A17" s="327" t="s">
        <v>383</v>
      </c>
      <c r="B17" s="419">
        <f t="shared" ref="B17:C17" si="4">B5+B9+B13</f>
        <v>37876940</v>
      </c>
      <c r="C17" s="419">
        <f t="shared" si="4"/>
        <v>16967585.679999996</v>
      </c>
      <c r="D17" s="693">
        <f>C17/B17*100</f>
        <v>44.796611553097996</v>
      </c>
    </row>
    <row r="18" spans="1:4" ht="27" customHeight="1" thickBot="1" x14ac:dyDescent="0.35">
      <c r="A18" s="328" t="s">
        <v>384</v>
      </c>
      <c r="B18" s="420">
        <f t="shared" ref="B18:C18" si="5">B16-B17</f>
        <v>0</v>
      </c>
      <c r="C18" s="420">
        <f t="shared" si="5"/>
        <v>107794.20000000298</v>
      </c>
    </row>
    <row r="19" spans="1:4" x14ac:dyDescent="0.2">
      <c r="B19" s="348"/>
      <c r="C19" s="348"/>
    </row>
    <row r="20" spans="1:4" ht="13.5" thickBot="1" x14ac:dyDescent="0.25">
      <c r="B20" s="348"/>
      <c r="C20" s="348"/>
    </row>
    <row r="21" spans="1:4" ht="20.25" x14ac:dyDescent="0.3">
      <c r="A21" s="324" t="s">
        <v>423</v>
      </c>
      <c r="B21" s="421">
        <f t="shared" ref="B21:C21" si="6">B4+B8</f>
        <v>33003290</v>
      </c>
      <c r="C21" s="421">
        <f t="shared" si="6"/>
        <v>14438105.399999999</v>
      </c>
      <c r="D21" s="693">
        <f>C21/B21*100</f>
        <v>43.747473054959066</v>
      </c>
    </row>
    <row r="22" spans="1:4" ht="21" thickBot="1" x14ac:dyDescent="0.35">
      <c r="A22" s="325" t="s">
        <v>424</v>
      </c>
      <c r="B22" s="422">
        <f t="shared" ref="B22:C22" si="7">B5+B9</f>
        <v>32528995</v>
      </c>
      <c r="C22" s="422">
        <f t="shared" si="7"/>
        <v>15057944.099999998</v>
      </c>
      <c r="D22" s="693">
        <f>C22/B22*100</f>
        <v>46.290837143908064</v>
      </c>
    </row>
    <row r="23" spans="1:4" ht="21" thickBot="1" x14ac:dyDescent="0.35">
      <c r="A23" s="326" t="s">
        <v>410</v>
      </c>
      <c r="B23" s="423">
        <f t="shared" ref="B23:C23" si="8">B21-B22</f>
        <v>474295</v>
      </c>
      <c r="C23" s="423">
        <f t="shared" si="8"/>
        <v>-619838.69999999925</v>
      </c>
      <c r="D23" s="693">
        <f>C23/B23*100</f>
        <v>-130.68632391233288</v>
      </c>
    </row>
    <row r="24" spans="1:4" ht="18.75" thickBot="1" x14ac:dyDescent="0.3">
      <c r="A24" s="256"/>
      <c r="B24" s="348"/>
      <c r="C24" s="348"/>
    </row>
    <row r="25" spans="1:4" ht="32.25" thickBot="1" x14ac:dyDescent="0.3">
      <c r="A25" s="557" t="s">
        <v>420</v>
      </c>
      <c r="B25" s="340" t="s">
        <v>627</v>
      </c>
      <c r="C25" s="648" t="s">
        <v>630</v>
      </c>
    </row>
    <row r="26" spans="1:4" ht="18" x14ac:dyDescent="0.25">
      <c r="A26" s="558" t="s">
        <v>5</v>
      </c>
      <c r="B26" s="649">
        <f>'príjmy '!E4</f>
        <v>13022000</v>
      </c>
      <c r="C26" s="649">
        <f>'príjmy '!F4</f>
        <v>6605438.46</v>
      </c>
      <c r="D26" s="693">
        <f>C26/B26*100</f>
        <v>50.725222392873604</v>
      </c>
    </row>
    <row r="27" spans="1:4" ht="18" x14ac:dyDescent="0.25">
      <c r="A27" s="559" t="s">
        <v>598</v>
      </c>
      <c r="B27" s="650">
        <f>'príjmy '!E18+'príjmy '!E29+'príjmy '!E52+'príjmy '!E91</f>
        <v>4665400</v>
      </c>
      <c r="C27" s="650">
        <f>'príjmy '!F18+'príjmy '!F29+'príjmy '!F52+'príjmy '!F91</f>
        <v>1890346.62</v>
      </c>
      <c r="D27" s="693">
        <f>C27/B27*100</f>
        <v>40.51842542975951</v>
      </c>
    </row>
    <row r="28" spans="1:4" ht="18" x14ac:dyDescent="0.25">
      <c r="A28" s="559" t="s">
        <v>599</v>
      </c>
      <c r="B28" s="650">
        <f>'príjmy '!E61+'príjmy '!E95</f>
        <v>15315890</v>
      </c>
      <c r="C28" s="650">
        <f>'príjmy '!F61+'príjmy '!F95</f>
        <v>5942320.3200000003</v>
      </c>
      <c r="D28" s="693">
        <f>C28/B28*100</f>
        <v>38.798400354142011</v>
      </c>
    </row>
    <row r="29" spans="1:4" ht="18" x14ac:dyDescent="0.25">
      <c r="A29" s="559" t="s">
        <v>600</v>
      </c>
      <c r="B29" s="650">
        <f>'príjmy '!E103+'príjmy '!E104+'príjmy '!E105+'príjmy '!E106+'príjmy '!E107</f>
        <v>1561100</v>
      </c>
      <c r="C29" s="650">
        <f>'príjmy '!F103+'príjmy '!F104+'príjmy '!F105+'príjmy '!F106+'príjmy '!F107</f>
        <v>1112997.8600000001</v>
      </c>
      <c r="D29" s="693">
        <f>C29/B29*100</f>
        <v>71.295744026647881</v>
      </c>
    </row>
    <row r="30" spans="1:4" ht="18" x14ac:dyDescent="0.25">
      <c r="A30" s="559" t="s">
        <v>601</v>
      </c>
      <c r="B30" s="650">
        <f>'príjmy '!E108+'príjmy '!E109</f>
        <v>3312550</v>
      </c>
      <c r="C30" s="650">
        <f>'príjmy '!F108+'príjmy '!F109</f>
        <v>1524276.6199999999</v>
      </c>
      <c r="D30" s="693">
        <f>C30/B30*100</f>
        <v>46.015203393156327</v>
      </c>
    </row>
    <row r="31" spans="1:4" ht="18" x14ac:dyDescent="0.25">
      <c r="A31" s="559" t="s">
        <v>602</v>
      </c>
      <c r="B31" s="650">
        <f>B5</f>
        <v>27772955</v>
      </c>
      <c r="C31" s="650">
        <f>C5</f>
        <v>13597413.909999998</v>
      </c>
      <c r="D31" s="693">
        <f>C31/B31*100</f>
        <v>48.959190370632143</v>
      </c>
    </row>
    <row r="32" spans="1:4" ht="18" x14ac:dyDescent="0.25">
      <c r="A32" s="559" t="s">
        <v>603</v>
      </c>
      <c r="B32" s="650">
        <f>B9</f>
        <v>4756040</v>
      </c>
      <c r="C32" s="650">
        <f t="shared" ref="C32" si="9">C9</f>
        <v>1460530.19</v>
      </c>
      <c r="D32" s="693">
        <f>C32/B32*100</f>
        <v>30.708955139149374</v>
      </c>
    </row>
    <row r="33" spans="1:15" ht="18.75" thickBot="1" x14ac:dyDescent="0.3">
      <c r="A33" s="560" t="s">
        <v>604</v>
      </c>
      <c r="B33" s="651">
        <f t="shared" ref="B33:C33" si="10">B13</f>
        <v>5347945</v>
      </c>
      <c r="C33" s="651">
        <f t="shared" si="10"/>
        <v>1909641.5799999998</v>
      </c>
      <c r="D33" s="693">
        <f>C33/B33*100</f>
        <v>35.707950998000165</v>
      </c>
    </row>
    <row r="34" spans="1:15" ht="13.5" thickBot="1" x14ac:dyDescent="0.25">
      <c r="A34" s="726"/>
      <c r="C34" s="348"/>
    </row>
    <row r="35" spans="1:15" ht="36.75" thickBot="1" x14ac:dyDescent="0.3">
      <c r="A35" s="727"/>
      <c r="B35" s="570" t="s">
        <v>627</v>
      </c>
      <c r="C35" s="828" t="s">
        <v>630</v>
      </c>
    </row>
    <row r="36" spans="1:15" ht="18" x14ac:dyDescent="0.25">
      <c r="A36" s="561" t="s">
        <v>436</v>
      </c>
      <c r="B36" s="344">
        <f>B26+B27+B28+B29+B30</f>
        <v>37876940</v>
      </c>
      <c r="C36" s="652">
        <f t="shared" ref="C36" si="11">C26+C27+C28+C29+C30</f>
        <v>17075379.879999999</v>
      </c>
      <c r="D36" s="693">
        <f>C36/B36*100</f>
        <v>45.081202124564442</v>
      </c>
    </row>
    <row r="37" spans="1:15" ht="18" x14ac:dyDescent="0.25">
      <c r="A37" s="562" t="s">
        <v>437</v>
      </c>
      <c r="B37" s="341">
        <f t="shared" ref="B37:C37" si="12">B31+B32+B33</f>
        <v>37876940</v>
      </c>
      <c r="C37" s="653">
        <f t="shared" si="12"/>
        <v>16967585.679999996</v>
      </c>
      <c r="D37" s="693">
        <f>C37/B37*100</f>
        <v>44.796611553097996</v>
      </c>
    </row>
    <row r="38" spans="1:15" ht="18.75" thickBot="1" x14ac:dyDescent="0.3">
      <c r="A38" s="563" t="s">
        <v>379</v>
      </c>
      <c r="B38" s="342">
        <f t="shared" ref="B38:C38" si="13">B36-B37</f>
        <v>0</v>
      </c>
      <c r="C38" s="654">
        <f t="shared" si="13"/>
        <v>107794.20000000298</v>
      </c>
      <c r="E38" s="343"/>
      <c r="F38" s="343"/>
      <c r="G38" s="343"/>
      <c r="H38" s="343"/>
      <c r="I38" s="343"/>
      <c r="J38" s="343"/>
      <c r="K38" s="343"/>
    </row>
    <row r="42" spans="1:15" x14ac:dyDescent="0.2">
      <c r="O42" s="102"/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1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5"/>
  <sheetViews>
    <sheetView zoomScaleNormal="100" workbookViewId="0">
      <selection sqref="A1:D1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33" t="s">
        <v>633</v>
      </c>
      <c r="B1" s="733"/>
      <c r="C1" s="733"/>
      <c r="D1" s="733"/>
    </row>
    <row r="2" spans="1:4" s="680" customFormat="1" ht="34.5" customHeight="1" thickBot="1" x14ac:dyDescent="0.35">
      <c r="A2" s="676" t="s">
        <v>591</v>
      </c>
      <c r="B2" s="677" t="s">
        <v>381</v>
      </c>
      <c r="C2" s="678" t="s">
        <v>631</v>
      </c>
      <c r="D2" s="679" t="s">
        <v>632</v>
      </c>
    </row>
    <row r="3" spans="1:4" ht="15.75" x14ac:dyDescent="0.25">
      <c r="A3" s="575" t="s">
        <v>438</v>
      </c>
      <c r="B3" s="669" t="s">
        <v>443</v>
      </c>
      <c r="C3" s="670">
        <f>150000-2220</f>
        <v>147780</v>
      </c>
      <c r="D3" s="685">
        <v>853.44</v>
      </c>
    </row>
    <row r="4" spans="1:4" ht="15.75" x14ac:dyDescent="0.25">
      <c r="A4" s="575" t="s">
        <v>648</v>
      </c>
      <c r="B4" s="669" t="s">
        <v>649</v>
      </c>
      <c r="C4" s="670">
        <v>10150</v>
      </c>
      <c r="D4" s="685"/>
    </row>
    <row r="5" spans="1:4" ht="15.75" x14ac:dyDescent="0.25">
      <c r="A5" s="575" t="s">
        <v>562</v>
      </c>
      <c r="B5" s="671" t="s">
        <v>439</v>
      </c>
      <c r="C5" s="672">
        <v>115000</v>
      </c>
      <c r="D5" s="686"/>
    </row>
    <row r="6" spans="1:4" ht="15.75" x14ac:dyDescent="0.25">
      <c r="A6" s="729" t="s">
        <v>440</v>
      </c>
      <c r="B6" s="671" t="s">
        <v>557</v>
      </c>
      <c r="C6" s="672">
        <v>227000</v>
      </c>
      <c r="D6" s="686">
        <v>113449.98</v>
      </c>
    </row>
    <row r="7" spans="1:4" ht="15.75" x14ac:dyDescent="0.25">
      <c r="A7" s="731"/>
      <c r="B7" s="671" t="s">
        <v>636</v>
      </c>
      <c r="C7" s="672">
        <v>2542000</v>
      </c>
      <c r="D7" s="686"/>
    </row>
    <row r="8" spans="1:4" ht="15.75" x14ac:dyDescent="0.25">
      <c r="A8" s="732"/>
      <c r="B8" s="671" t="s">
        <v>620</v>
      </c>
      <c r="C8" s="672">
        <v>20000</v>
      </c>
      <c r="D8" s="686">
        <v>7844.2</v>
      </c>
    </row>
    <row r="9" spans="1:4" ht="15.75" x14ac:dyDescent="0.25">
      <c r="A9" s="729" t="s">
        <v>623</v>
      </c>
      <c r="B9" s="671" t="s">
        <v>626</v>
      </c>
      <c r="C9" s="672">
        <v>239000</v>
      </c>
      <c r="D9" s="686">
        <v>32647.79</v>
      </c>
    </row>
    <row r="10" spans="1:4" ht="15.75" x14ac:dyDescent="0.25">
      <c r="A10" s="731"/>
      <c r="B10" s="671" t="s">
        <v>656</v>
      </c>
      <c r="C10" s="672">
        <v>25392</v>
      </c>
      <c r="D10" s="686"/>
    </row>
    <row r="11" spans="1:4" ht="15.75" x14ac:dyDescent="0.25">
      <c r="A11" s="731"/>
      <c r="B11" s="671" t="s">
        <v>650</v>
      </c>
      <c r="C11" s="672">
        <v>11306</v>
      </c>
      <c r="D11" s="686"/>
    </row>
    <row r="12" spans="1:4" ht="15.75" x14ac:dyDescent="0.25">
      <c r="A12" s="731"/>
      <c r="B12" s="671" t="s">
        <v>657</v>
      </c>
      <c r="C12" s="672">
        <v>3000</v>
      </c>
      <c r="D12" s="686">
        <v>3000</v>
      </c>
    </row>
    <row r="13" spans="1:4" ht="15.75" x14ac:dyDescent="0.25">
      <c r="A13" s="731"/>
      <c r="B13" s="671" t="s">
        <v>639</v>
      </c>
      <c r="C13" s="672">
        <v>14600</v>
      </c>
      <c r="D13" s="686">
        <v>14597.2</v>
      </c>
    </row>
    <row r="14" spans="1:4" ht="15.75" x14ac:dyDescent="0.25">
      <c r="A14" s="731"/>
      <c r="B14" s="671" t="s">
        <v>655</v>
      </c>
      <c r="C14" s="672">
        <v>4299</v>
      </c>
      <c r="D14" s="686"/>
    </row>
    <row r="15" spans="1:4" ht="15.75" x14ac:dyDescent="0.25">
      <c r="A15" s="731"/>
      <c r="B15" s="671" t="s">
        <v>643</v>
      </c>
      <c r="C15" s="672">
        <v>76000</v>
      </c>
      <c r="D15" s="686">
        <v>76000</v>
      </c>
    </row>
    <row r="16" spans="1:4" ht="15.75" x14ac:dyDescent="0.25">
      <c r="A16" s="731"/>
      <c r="B16" s="671" t="s">
        <v>658</v>
      </c>
      <c r="C16" s="672">
        <v>2073</v>
      </c>
      <c r="D16" s="686">
        <v>2072.4</v>
      </c>
    </row>
    <row r="17" spans="1:4" ht="15.75" x14ac:dyDescent="0.25">
      <c r="A17" s="732"/>
      <c r="B17" s="673" t="s">
        <v>621</v>
      </c>
      <c r="C17" s="672">
        <v>4608</v>
      </c>
      <c r="D17" s="686"/>
    </row>
    <row r="18" spans="1:4" ht="15.75" x14ac:dyDescent="0.25">
      <c r="A18" s="655" t="s">
        <v>444</v>
      </c>
      <c r="B18" s="673" t="s">
        <v>641</v>
      </c>
      <c r="C18" s="672"/>
      <c r="D18" s="686">
        <v>11644</v>
      </c>
    </row>
    <row r="19" spans="1:4" ht="15.75" x14ac:dyDescent="0.25">
      <c r="A19" s="729" t="s">
        <v>625</v>
      </c>
      <c r="B19" s="673" t="s">
        <v>585</v>
      </c>
      <c r="C19" s="672">
        <v>494000</v>
      </c>
      <c r="D19" s="686">
        <v>493591.92</v>
      </c>
    </row>
    <row r="20" spans="1:4" ht="15.75" x14ac:dyDescent="0.25">
      <c r="A20" s="732"/>
      <c r="B20" s="673" t="s">
        <v>640</v>
      </c>
      <c r="C20" s="672">
        <v>4100</v>
      </c>
      <c r="D20" s="686">
        <v>4082.4</v>
      </c>
    </row>
    <row r="21" spans="1:4" ht="15.75" x14ac:dyDescent="0.25">
      <c r="A21" s="729" t="s">
        <v>653</v>
      </c>
      <c r="B21" s="673" t="s">
        <v>335</v>
      </c>
      <c r="C21" s="672"/>
      <c r="D21" s="686"/>
    </row>
    <row r="22" spans="1:4" ht="15.75" x14ac:dyDescent="0.25">
      <c r="A22" s="731"/>
      <c r="B22" s="671" t="s">
        <v>613</v>
      </c>
      <c r="C22" s="672">
        <v>727000</v>
      </c>
      <c r="D22" s="686">
        <v>684764.9</v>
      </c>
    </row>
    <row r="23" spans="1:4" ht="15.75" x14ac:dyDescent="0.25">
      <c r="A23" s="732"/>
      <c r="B23" s="671" t="s">
        <v>654</v>
      </c>
      <c r="C23" s="672">
        <v>10000</v>
      </c>
      <c r="D23" s="686"/>
    </row>
    <row r="24" spans="1:4" ht="15.75" x14ac:dyDescent="0.25">
      <c r="A24" s="729" t="s">
        <v>606</v>
      </c>
      <c r="B24" s="671" t="s">
        <v>624</v>
      </c>
      <c r="C24" s="672">
        <v>16000</v>
      </c>
      <c r="D24" s="686">
        <v>15981.96</v>
      </c>
    </row>
    <row r="25" spans="1:4" ht="15.75" x14ac:dyDescent="0.25">
      <c r="A25" s="732"/>
      <c r="B25" s="671" t="s">
        <v>537</v>
      </c>
      <c r="C25" s="672">
        <v>10000</v>
      </c>
      <c r="D25" s="686"/>
    </row>
    <row r="26" spans="1:4" ht="15.75" x14ac:dyDescent="0.25">
      <c r="A26" s="729" t="s">
        <v>651</v>
      </c>
      <c r="B26" s="674" t="s">
        <v>652</v>
      </c>
      <c r="C26" s="698">
        <v>2732</v>
      </c>
      <c r="D26" s="687"/>
    </row>
    <row r="27" spans="1:4" ht="16.5" thickBot="1" x14ac:dyDescent="0.3">
      <c r="A27" s="730"/>
      <c r="B27" s="674" t="s">
        <v>441</v>
      </c>
      <c r="C27" s="675">
        <v>50000</v>
      </c>
      <c r="D27" s="687"/>
    </row>
    <row r="28" spans="1:4" s="349" customFormat="1" ht="19.5" thickBot="1" x14ac:dyDescent="0.35">
      <c r="A28" s="681"/>
      <c r="B28" s="682" t="s">
        <v>442</v>
      </c>
      <c r="C28" s="683">
        <f>SUM(C3:C27)</f>
        <v>4756040</v>
      </c>
      <c r="D28" s="684">
        <f t="shared" ref="D28" si="0">SUM(D3:D27)</f>
        <v>1460530.19</v>
      </c>
    </row>
    <row r="35" spans="3:3" s="345" customFormat="1" ht="15.75" x14ac:dyDescent="0.25">
      <c r="C35" s="576"/>
    </row>
  </sheetData>
  <mergeCells count="7">
    <mergeCell ref="A26:A27"/>
    <mergeCell ref="A21:A23"/>
    <mergeCell ref="A1:D1"/>
    <mergeCell ref="A6:A8"/>
    <mergeCell ref="A9:A17"/>
    <mergeCell ref="A24:A25"/>
    <mergeCell ref="A19:A20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5"/>
  <sheetViews>
    <sheetView topLeftCell="D1" workbookViewId="0">
      <selection sqref="A1:W1"/>
    </sheetView>
  </sheetViews>
  <sheetFormatPr defaultRowHeight="15" x14ac:dyDescent="0.25"/>
  <cols>
    <col min="1" max="1" width="9.140625" style="488"/>
    <col min="2" max="2" width="23.42578125" style="488" bestFit="1" customWidth="1"/>
    <col min="3" max="3" width="10.140625" style="488" bestFit="1" customWidth="1"/>
    <col min="4" max="4" width="10.28515625" style="488" bestFit="1" customWidth="1"/>
    <col min="5" max="5" width="9.140625" style="488"/>
    <col min="6" max="9" width="10" style="488" customWidth="1"/>
    <col min="10" max="10" width="11.28515625" style="488" bestFit="1" customWidth="1"/>
    <col min="11" max="11" width="23.28515625" style="488" bestFit="1" customWidth="1"/>
    <col min="12" max="12" width="9.42578125" style="488" customWidth="1"/>
    <col min="13" max="13" width="9.42578125" style="488" bestFit="1" customWidth="1"/>
    <col min="14" max="14" width="16.85546875" style="488" bestFit="1" customWidth="1"/>
    <col min="15" max="16" width="14.140625" style="488" bestFit="1" customWidth="1"/>
    <col min="17" max="18" width="12.5703125" style="488" bestFit="1" customWidth="1"/>
    <col min="19" max="23" width="13.5703125" style="488" customWidth="1"/>
    <col min="24" max="24" width="9.140625" style="488"/>
  </cols>
  <sheetData>
    <row r="1" spans="1:23" ht="16.5" customHeight="1" thickBot="1" x14ac:dyDescent="0.3">
      <c r="A1" s="788" t="s">
        <v>558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  <c r="O1" s="789"/>
      <c r="P1" s="789"/>
      <c r="Q1" s="789"/>
      <c r="R1" s="789"/>
      <c r="S1" s="789"/>
      <c r="T1" s="789"/>
      <c r="U1" s="789"/>
      <c r="V1" s="789"/>
      <c r="W1" s="789"/>
    </row>
    <row r="2" spans="1:23" ht="15" customHeight="1" thickBot="1" x14ac:dyDescent="0.3">
      <c r="A2" s="750" t="s">
        <v>463</v>
      </c>
      <c r="B2" s="753" t="s">
        <v>464</v>
      </c>
      <c r="C2" s="817" t="s">
        <v>378</v>
      </c>
      <c r="D2" s="818"/>
      <c r="E2" s="818"/>
      <c r="F2" s="818"/>
      <c r="G2" s="818"/>
      <c r="H2" s="818"/>
      <c r="I2" s="818"/>
      <c r="J2" s="818"/>
      <c r="K2" s="819"/>
      <c r="L2" s="694"/>
      <c r="M2" s="601"/>
      <c r="N2" s="801" t="s">
        <v>466</v>
      </c>
      <c r="O2" s="808" t="s">
        <v>559</v>
      </c>
      <c r="P2" s="809"/>
      <c r="Q2" s="809"/>
      <c r="R2" s="810"/>
      <c r="S2" s="793" t="s">
        <v>560</v>
      </c>
      <c r="T2" s="794"/>
      <c r="U2" s="794"/>
      <c r="V2" s="794"/>
      <c r="W2" s="795"/>
    </row>
    <row r="3" spans="1:23" ht="24.75" customHeight="1" x14ac:dyDescent="0.25">
      <c r="A3" s="751"/>
      <c r="B3" s="754"/>
      <c r="C3" s="756" t="s">
        <v>467</v>
      </c>
      <c r="D3" s="757"/>
      <c r="E3" s="758"/>
      <c r="F3" s="759" t="s">
        <v>468</v>
      </c>
      <c r="G3" s="760"/>
      <c r="H3" s="761"/>
      <c r="I3" s="782" t="s">
        <v>543</v>
      </c>
      <c r="J3" s="762" t="s">
        <v>469</v>
      </c>
      <c r="K3" s="617" t="s">
        <v>470</v>
      </c>
      <c r="L3" s="768" t="s">
        <v>647</v>
      </c>
      <c r="M3" s="822" t="s">
        <v>465</v>
      </c>
      <c r="N3" s="802"/>
      <c r="O3" s="811"/>
      <c r="P3" s="812"/>
      <c r="Q3" s="812"/>
      <c r="R3" s="813"/>
      <c r="S3" s="796"/>
      <c r="T3" s="797"/>
      <c r="U3" s="797"/>
      <c r="V3" s="797"/>
      <c r="W3" s="798"/>
    </row>
    <row r="4" spans="1:23" ht="15.75" thickBot="1" x14ac:dyDescent="0.3">
      <c r="A4" s="751"/>
      <c r="B4" s="754"/>
      <c r="C4" s="765" t="s">
        <v>395</v>
      </c>
      <c r="D4" s="804" t="s">
        <v>471</v>
      </c>
      <c r="E4" s="805"/>
      <c r="F4" s="806" t="s">
        <v>472</v>
      </c>
      <c r="G4" s="780" t="s">
        <v>473</v>
      </c>
      <c r="H4" s="827" t="s">
        <v>542</v>
      </c>
      <c r="I4" s="783"/>
      <c r="J4" s="763"/>
      <c r="K4" s="773" t="s">
        <v>474</v>
      </c>
      <c r="L4" s="769"/>
      <c r="M4" s="823"/>
      <c r="N4" s="802"/>
      <c r="O4" s="811"/>
      <c r="P4" s="812"/>
      <c r="Q4" s="812"/>
      <c r="R4" s="813"/>
      <c r="S4" s="790"/>
      <c r="T4" s="791"/>
      <c r="U4" s="791"/>
      <c r="V4" s="791"/>
      <c r="W4" s="792"/>
    </row>
    <row r="5" spans="1:23" ht="43.5" customHeight="1" x14ac:dyDescent="0.25">
      <c r="A5" s="751"/>
      <c r="B5" s="754"/>
      <c r="C5" s="766"/>
      <c r="D5" s="776" t="s">
        <v>475</v>
      </c>
      <c r="E5" s="778" t="s">
        <v>476</v>
      </c>
      <c r="F5" s="806"/>
      <c r="G5" s="780"/>
      <c r="H5" s="780"/>
      <c r="I5" s="783"/>
      <c r="J5" s="763"/>
      <c r="K5" s="774"/>
      <c r="L5" s="769"/>
      <c r="M5" s="823"/>
      <c r="N5" s="802"/>
      <c r="O5" s="474" t="s">
        <v>135</v>
      </c>
      <c r="P5" s="814" t="s">
        <v>634</v>
      </c>
      <c r="Q5" s="815"/>
      <c r="R5" s="816"/>
      <c r="S5" s="489" t="s">
        <v>580</v>
      </c>
      <c r="T5" s="490" t="s">
        <v>581</v>
      </c>
      <c r="U5" s="491" t="s">
        <v>549</v>
      </c>
      <c r="V5" s="492"/>
      <c r="W5" s="492" t="s">
        <v>550</v>
      </c>
    </row>
    <row r="6" spans="1:23" ht="15" customHeight="1" thickBot="1" x14ac:dyDescent="0.3">
      <c r="A6" s="752"/>
      <c r="B6" s="755"/>
      <c r="C6" s="767"/>
      <c r="D6" s="777"/>
      <c r="E6" s="779"/>
      <c r="F6" s="807"/>
      <c r="G6" s="781"/>
      <c r="H6" s="781"/>
      <c r="I6" s="784"/>
      <c r="J6" s="764"/>
      <c r="K6" s="775"/>
      <c r="L6" s="770"/>
      <c r="M6" s="824"/>
      <c r="N6" s="803"/>
      <c r="O6" s="473" t="s">
        <v>638</v>
      </c>
      <c r="P6" s="479" t="s">
        <v>141</v>
      </c>
      <c r="Q6" s="468" t="s">
        <v>142</v>
      </c>
      <c r="R6" s="480" t="s">
        <v>554</v>
      </c>
      <c r="S6" s="790" t="s">
        <v>141</v>
      </c>
      <c r="T6" s="791"/>
      <c r="U6" s="792"/>
      <c r="V6" s="493" t="s">
        <v>555</v>
      </c>
      <c r="W6" s="494" t="s">
        <v>556</v>
      </c>
    </row>
    <row r="7" spans="1:23" ht="15.75" thickBot="1" x14ac:dyDescent="0.3">
      <c r="A7" s="436" t="s">
        <v>477</v>
      </c>
      <c r="B7" s="543"/>
      <c r="C7" s="453">
        <f>C9+C18+C25+C46</f>
        <v>7240514</v>
      </c>
      <c r="D7" s="437">
        <f>D18+D46</f>
        <v>6345311</v>
      </c>
      <c r="E7" s="454">
        <f>E9+E18+E25+E46</f>
        <v>895203</v>
      </c>
      <c r="F7" s="453">
        <f>F9+F18+F25+F8+F46</f>
        <v>4794000</v>
      </c>
      <c r="G7" s="437">
        <f>G9+G18+G25+G46</f>
        <v>1248168</v>
      </c>
      <c r="H7" s="688">
        <f>H9+H18+H46</f>
        <v>656945</v>
      </c>
      <c r="I7" s="454">
        <f>I9+I18+I46</f>
        <v>1020410</v>
      </c>
      <c r="J7" s="594">
        <f>J9+J18+J25+J46+J8</f>
        <v>14960037</v>
      </c>
      <c r="K7" s="594">
        <f>K9+K18+K25</f>
        <v>10892000</v>
      </c>
      <c r="L7" s="695">
        <f>L9+L18+L25</f>
        <v>3709</v>
      </c>
      <c r="M7" s="454">
        <f>M9+M18+M25+M46</f>
        <v>380278</v>
      </c>
      <c r="N7" s="444">
        <f>N9+N18+N25+N46+N8</f>
        <v>15344024</v>
      </c>
      <c r="O7" s="428">
        <f>O9+O18+O25+O29+O45+O46+O47</f>
        <v>14473769</v>
      </c>
      <c r="P7" s="438">
        <f>P9+P18+P25+P29+P45+P47</f>
        <v>14348405</v>
      </c>
      <c r="Q7" s="439">
        <f>Q9+Q18+Q25+Q29+Q45</f>
        <v>125364</v>
      </c>
      <c r="R7" s="475"/>
      <c r="S7" s="438">
        <f>S9+S18+S25</f>
        <v>611000</v>
      </c>
      <c r="T7" s="439">
        <f>T9+T18+T25</f>
        <v>4800</v>
      </c>
      <c r="U7" s="475">
        <f>U9+U18+U25</f>
        <v>554230</v>
      </c>
      <c r="V7" s="428"/>
      <c r="W7" s="428">
        <f>W9+W18+W25</f>
        <v>56945</v>
      </c>
    </row>
    <row r="8" spans="1:23" ht="15.75" thickBot="1" x14ac:dyDescent="0.3">
      <c r="A8" s="432" t="s">
        <v>478</v>
      </c>
      <c r="B8" s="544" t="s">
        <v>479</v>
      </c>
      <c r="C8" s="555"/>
      <c r="D8" s="433"/>
      <c r="E8" s="585"/>
      <c r="F8" s="581">
        <v>6000</v>
      </c>
      <c r="G8" s="621"/>
      <c r="H8" s="620"/>
      <c r="I8" s="583"/>
      <c r="J8" s="595">
        <f>F8</f>
        <v>6000</v>
      </c>
      <c r="K8" s="618"/>
      <c r="L8" s="696"/>
      <c r="M8" s="619"/>
      <c r="N8" s="445">
        <f>J8</f>
        <v>6000</v>
      </c>
      <c r="O8" s="471"/>
      <c r="P8" s="434"/>
      <c r="Q8" s="435"/>
      <c r="R8" s="481"/>
      <c r="S8" s="495"/>
      <c r="T8" s="496"/>
      <c r="U8" s="497"/>
      <c r="V8" s="498"/>
      <c r="W8" s="498"/>
    </row>
    <row r="9" spans="1:23" ht="15.75" thickBot="1" x14ac:dyDescent="0.3">
      <c r="A9" s="386" t="s">
        <v>480</v>
      </c>
      <c r="B9" s="545" t="s">
        <v>481</v>
      </c>
      <c r="C9" s="455">
        <f>C10+C11+C12+C13+C14+C15+C16+C17</f>
        <v>218525</v>
      </c>
      <c r="D9" s="582"/>
      <c r="E9" s="586">
        <f t="shared" ref="E9:Q9" si="0">E10+E11+E12+E13+E14+E15+E16+E17</f>
        <v>218525</v>
      </c>
      <c r="F9" s="455">
        <f>F10+F11+F12+F13+F14+F15+F16+F17</f>
        <v>2338042</v>
      </c>
      <c r="G9" s="690">
        <f t="shared" si="0"/>
        <v>257000</v>
      </c>
      <c r="H9" s="689">
        <f t="shared" si="0"/>
        <v>211085</v>
      </c>
      <c r="I9" s="456">
        <f t="shared" si="0"/>
        <v>72740</v>
      </c>
      <c r="J9" s="586">
        <f>J10+J11+J12+J13+J14+J15+J16+J17</f>
        <v>3097392</v>
      </c>
      <c r="K9" s="587">
        <f t="shared" si="0"/>
        <v>2338042</v>
      </c>
      <c r="L9" s="587">
        <f>SUM(L10:L17)</f>
        <v>3709</v>
      </c>
      <c r="M9" s="456">
        <f t="shared" si="0"/>
        <v>278698</v>
      </c>
      <c r="N9" s="446">
        <f t="shared" si="0"/>
        <v>3379799</v>
      </c>
      <c r="O9" s="430">
        <f t="shared" si="0"/>
        <v>2276862</v>
      </c>
      <c r="P9" s="387">
        <f t="shared" si="0"/>
        <v>2248470</v>
      </c>
      <c r="Q9" s="388">
        <f t="shared" si="0"/>
        <v>28392</v>
      </c>
      <c r="R9" s="476"/>
      <c r="S9" s="387">
        <f>SUM(S10:S17)</f>
        <v>167000</v>
      </c>
      <c r="T9" s="388">
        <f>SUM(T10:T17)</f>
        <v>0</v>
      </c>
      <c r="U9" s="476">
        <f>SUM(U10:U17)</f>
        <v>199520</v>
      </c>
      <c r="V9" s="430"/>
      <c r="W9" s="430">
        <f>SUM(W10:W17)</f>
        <v>11565</v>
      </c>
    </row>
    <row r="10" spans="1:23" x14ac:dyDescent="0.25">
      <c r="A10" s="390" t="s">
        <v>482</v>
      </c>
      <c r="B10" s="546" t="s">
        <v>483</v>
      </c>
      <c r="C10" s="603">
        <f>E10</f>
        <v>22005</v>
      </c>
      <c r="D10" s="604"/>
      <c r="E10" s="606">
        <v>22005</v>
      </c>
      <c r="F10" s="656">
        <v>263170</v>
      </c>
      <c r="G10" s="392">
        <v>17200</v>
      </c>
      <c r="H10" s="391">
        <v>24560</v>
      </c>
      <c r="I10" s="391">
        <v>8500</v>
      </c>
      <c r="J10" s="596">
        <f>C10+F10+G10+H10+I10</f>
        <v>335435</v>
      </c>
      <c r="K10" s="605">
        <f>F10</f>
        <v>263170</v>
      </c>
      <c r="L10" s="605"/>
      <c r="M10" s="606">
        <v>239000</v>
      </c>
      <c r="N10" s="392">
        <f t="shared" ref="N10:N17" si="1">J10+M10</f>
        <v>574435</v>
      </c>
      <c r="O10" s="429">
        <f>P10+Q10</f>
        <v>263170</v>
      </c>
      <c r="P10" s="393">
        <f t="shared" ref="P10:P16" si="2">K10</f>
        <v>263170</v>
      </c>
      <c r="Q10" s="398"/>
      <c r="R10" s="607"/>
      <c r="S10" s="393">
        <v>17200</v>
      </c>
      <c r="T10" s="394"/>
      <c r="U10" s="398">
        <v>24100</v>
      </c>
      <c r="V10" s="429"/>
      <c r="W10" s="607">
        <v>460</v>
      </c>
    </row>
    <row r="11" spans="1:23" x14ac:dyDescent="0.25">
      <c r="A11" s="395" t="s">
        <v>484</v>
      </c>
      <c r="B11" s="547" t="s">
        <v>485</v>
      </c>
      <c r="C11" s="608">
        <f t="shared" ref="C11:C17" si="3">E11</f>
        <v>38728</v>
      </c>
      <c r="D11" s="396"/>
      <c r="E11" s="458">
        <v>38728</v>
      </c>
      <c r="F11" s="657">
        <f>417950-12000</f>
        <v>405950</v>
      </c>
      <c r="G11" s="448">
        <v>47700</v>
      </c>
      <c r="H11" s="396">
        <v>42340</v>
      </c>
      <c r="I11" s="391">
        <v>12350</v>
      </c>
      <c r="J11" s="596">
        <f t="shared" ref="J11:J16" si="4">C11+F11+G11+H11+I11</f>
        <v>547068</v>
      </c>
      <c r="K11" s="588">
        <f t="shared" ref="K11:K17" si="5">F11</f>
        <v>405950</v>
      </c>
      <c r="L11" s="588"/>
      <c r="M11" s="458">
        <f>13392+12000</f>
        <v>25392</v>
      </c>
      <c r="N11" s="392">
        <f t="shared" si="1"/>
        <v>572460</v>
      </c>
      <c r="O11" s="427">
        <f t="shared" ref="O11:O17" si="6">P11+Q11</f>
        <v>431342</v>
      </c>
      <c r="P11" s="397">
        <f>K11</f>
        <v>405950</v>
      </c>
      <c r="Q11" s="398">
        <f>13392+12000</f>
        <v>25392</v>
      </c>
      <c r="R11" s="477"/>
      <c r="S11" s="397">
        <v>35700</v>
      </c>
      <c r="T11" s="398"/>
      <c r="U11" s="398">
        <v>41240</v>
      </c>
      <c r="V11" s="427"/>
      <c r="W11" s="477">
        <v>1100</v>
      </c>
    </row>
    <row r="12" spans="1:23" x14ac:dyDescent="0.25">
      <c r="A12" s="395" t="s">
        <v>486</v>
      </c>
      <c r="B12" s="547" t="s">
        <v>487</v>
      </c>
      <c r="C12" s="608">
        <f t="shared" si="3"/>
        <v>68742</v>
      </c>
      <c r="D12" s="396"/>
      <c r="E12" s="458">
        <v>68742</v>
      </c>
      <c r="F12" s="657">
        <v>595910</v>
      </c>
      <c r="G12" s="448">
        <v>45600</v>
      </c>
      <c r="H12" s="396">
        <v>55360</v>
      </c>
      <c r="I12" s="391">
        <v>25050</v>
      </c>
      <c r="J12" s="596">
        <f t="shared" si="4"/>
        <v>790662</v>
      </c>
      <c r="K12" s="588">
        <f t="shared" si="5"/>
        <v>595910</v>
      </c>
      <c r="L12" s="588">
        <v>3709</v>
      </c>
      <c r="M12" s="458">
        <v>11306</v>
      </c>
      <c r="N12" s="392">
        <f>J12+M12+L12</f>
        <v>805677</v>
      </c>
      <c r="O12" s="427">
        <f t="shared" si="6"/>
        <v>595910</v>
      </c>
      <c r="P12" s="397">
        <f t="shared" si="2"/>
        <v>595910</v>
      </c>
      <c r="Q12" s="398"/>
      <c r="R12" s="477"/>
      <c r="S12" s="397">
        <v>45600</v>
      </c>
      <c r="T12" s="398"/>
      <c r="U12" s="398">
        <v>53060</v>
      </c>
      <c r="V12" s="427"/>
      <c r="W12" s="477">
        <v>2300</v>
      </c>
    </row>
    <row r="13" spans="1:23" x14ac:dyDescent="0.25">
      <c r="A13" s="395" t="s">
        <v>488</v>
      </c>
      <c r="B13" s="547" t="s">
        <v>489</v>
      </c>
      <c r="C13" s="608">
        <v>0</v>
      </c>
      <c r="D13" s="396"/>
      <c r="E13" s="458">
        <v>0</v>
      </c>
      <c r="F13" s="657">
        <v>0</v>
      </c>
      <c r="G13" s="448">
        <v>0</v>
      </c>
      <c r="H13" s="396">
        <v>0</v>
      </c>
      <c r="I13" s="391"/>
      <c r="J13" s="596">
        <f t="shared" si="4"/>
        <v>0</v>
      </c>
      <c r="K13" s="588">
        <f t="shared" si="5"/>
        <v>0</v>
      </c>
      <c r="L13" s="588"/>
      <c r="M13" s="458"/>
      <c r="N13" s="392">
        <f t="shared" si="1"/>
        <v>0</v>
      </c>
      <c r="O13" s="609">
        <f t="shared" si="6"/>
        <v>0</v>
      </c>
      <c r="P13" s="397">
        <f t="shared" si="2"/>
        <v>0</v>
      </c>
      <c r="Q13" s="398"/>
      <c r="R13" s="477"/>
      <c r="S13" s="397"/>
      <c r="T13" s="398"/>
      <c r="U13" s="398"/>
      <c r="V13" s="427"/>
      <c r="W13" s="477"/>
    </row>
    <row r="14" spans="1:23" x14ac:dyDescent="0.25">
      <c r="A14" s="395" t="s">
        <v>490</v>
      </c>
      <c r="B14" s="547" t="s">
        <v>491</v>
      </c>
      <c r="C14" s="608">
        <f t="shared" si="3"/>
        <v>29847</v>
      </c>
      <c r="D14" s="396"/>
      <c r="E14" s="458">
        <v>29847</v>
      </c>
      <c r="F14" s="657">
        <v>316410</v>
      </c>
      <c r="G14" s="448">
        <v>22800</v>
      </c>
      <c r="H14" s="396">
        <v>31710</v>
      </c>
      <c r="I14" s="391">
        <v>7770</v>
      </c>
      <c r="J14" s="596">
        <f t="shared" si="4"/>
        <v>408537</v>
      </c>
      <c r="K14" s="588">
        <f t="shared" si="5"/>
        <v>316410</v>
      </c>
      <c r="L14" s="588"/>
      <c r="M14" s="458"/>
      <c r="N14" s="392">
        <f t="shared" si="1"/>
        <v>408537</v>
      </c>
      <c r="O14" s="427">
        <f t="shared" si="6"/>
        <v>316410</v>
      </c>
      <c r="P14" s="397">
        <f t="shared" si="2"/>
        <v>316410</v>
      </c>
      <c r="Q14" s="398"/>
      <c r="R14" s="477"/>
      <c r="S14" s="397">
        <v>22800</v>
      </c>
      <c r="T14" s="398"/>
      <c r="U14" s="398">
        <v>28820</v>
      </c>
      <c r="V14" s="427"/>
      <c r="W14" s="477">
        <v>2890</v>
      </c>
    </row>
    <row r="15" spans="1:23" x14ac:dyDescent="0.25">
      <c r="A15" s="395" t="s">
        <v>492</v>
      </c>
      <c r="B15" s="547" t="s">
        <v>493</v>
      </c>
      <c r="C15" s="608">
        <f t="shared" si="3"/>
        <v>24919</v>
      </c>
      <c r="D15" s="396"/>
      <c r="E15" s="458">
        <v>24919</v>
      </c>
      <c r="F15" s="657">
        <v>330150</v>
      </c>
      <c r="G15" s="448">
        <v>102500</v>
      </c>
      <c r="H15" s="396">
        <v>30615</v>
      </c>
      <c r="I15" s="391">
        <v>8470</v>
      </c>
      <c r="J15" s="596">
        <f t="shared" si="4"/>
        <v>496654</v>
      </c>
      <c r="K15" s="588">
        <f t="shared" si="5"/>
        <v>330150</v>
      </c>
      <c r="L15" s="588"/>
      <c r="M15" s="458">
        <v>3000</v>
      </c>
      <c r="N15" s="392">
        <f t="shared" si="1"/>
        <v>499654</v>
      </c>
      <c r="O15" s="427">
        <f t="shared" si="6"/>
        <v>333150</v>
      </c>
      <c r="P15" s="397">
        <f t="shared" si="2"/>
        <v>330150</v>
      </c>
      <c r="Q15" s="398">
        <v>3000</v>
      </c>
      <c r="R15" s="477"/>
      <c r="S15" s="397">
        <v>24500</v>
      </c>
      <c r="T15" s="398"/>
      <c r="U15" s="398">
        <v>27960</v>
      </c>
      <c r="V15" s="427"/>
      <c r="W15" s="477">
        <v>2655</v>
      </c>
    </row>
    <row r="16" spans="1:23" x14ac:dyDescent="0.25">
      <c r="A16" s="399" t="s">
        <v>494</v>
      </c>
      <c r="B16" s="548" t="s">
        <v>495</v>
      </c>
      <c r="C16" s="610">
        <f t="shared" si="3"/>
        <v>34284</v>
      </c>
      <c r="D16" s="400"/>
      <c r="E16" s="463">
        <f>29934+4350</f>
        <v>34284</v>
      </c>
      <c r="F16" s="658">
        <v>336880</v>
      </c>
      <c r="G16" s="450">
        <v>21200</v>
      </c>
      <c r="H16" s="400">
        <v>26500</v>
      </c>
      <c r="I16" s="396">
        <v>10600</v>
      </c>
      <c r="J16" s="596">
        <f t="shared" si="4"/>
        <v>429464</v>
      </c>
      <c r="K16" s="589">
        <f>F16</f>
        <v>336880</v>
      </c>
      <c r="L16" s="589"/>
      <c r="M16" s="458"/>
      <c r="N16" s="392">
        <f t="shared" si="1"/>
        <v>429464</v>
      </c>
      <c r="O16" s="427">
        <f t="shared" si="6"/>
        <v>336880</v>
      </c>
      <c r="P16" s="397">
        <f t="shared" si="2"/>
        <v>336880</v>
      </c>
      <c r="Q16" s="398"/>
      <c r="R16" s="477"/>
      <c r="S16" s="397">
        <v>21200</v>
      </c>
      <c r="T16" s="398"/>
      <c r="U16" s="398">
        <v>24340</v>
      </c>
      <c r="V16" s="427"/>
      <c r="W16" s="477">
        <v>2160</v>
      </c>
    </row>
    <row r="17" spans="1:27" ht="15.75" thickBot="1" x14ac:dyDescent="0.3">
      <c r="A17" s="399" t="s">
        <v>496</v>
      </c>
      <c r="B17" s="548" t="s">
        <v>497</v>
      </c>
      <c r="C17" s="577">
        <f t="shared" si="3"/>
        <v>0</v>
      </c>
      <c r="D17" s="578"/>
      <c r="E17" s="460">
        <v>0</v>
      </c>
      <c r="F17" s="658">
        <f>82200+7372</f>
        <v>89572</v>
      </c>
      <c r="G17" s="400">
        <v>0</v>
      </c>
      <c r="H17" s="658"/>
      <c r="I17" s="659"/>
      <c r="J17" s="596">
        <f>C17+F17+G17+H17</f>
        <v>89572</v>
      </c>
      <c r="K17" s="590">
        <f t="shared" si="5"/>
        <v>89572</v>
      </c>
      <c r="L17" s="590"/>
      <c r="M17" s="460"/>
      <c r="N17" s="392">
        <f t="shared" si="1"/>
        <v>89572</v>
      </c>
      <c r="O17" s="431">
        <f t="shared" si="6"/>
        <v>0</v>
      </c>
      <c r="P17" s="384"/>
      <c r="Q17" s="385"/>
      <c r="R17" s="478"/>
      <c r="S17" s="499"/>
      <c r="T17" s="500"/>
      <c r="U17" s="501"/>
      <c r="V17" s="502"/>
      <c r="W17" s="502"/>
    </row>
    <row r="18" spans="1:27" ht="15.75" thickBot="1" x14ac:dyDescent="0.3">
      <c r="A18" s="401" t="s">
        <v>498</v>
      </c>
      <c r="B18" s="549" t="s">
        <v>499</v>
      </c>
      <c r="C18" s="387">
        <f t="shared" ref="C18:K18" si="7">C19+C20+C21+C22+C23+C24</f>
        <v>6697245</v>
      </c>
      <c r="D18" s="388">
        <f t="shared" si="7"/>
        <v>6104000</v>
      </c>
      <c r="E18" s="389">
        <f t="shared" si="7"/>
        <v>593245</v>
      </c>
      <c r="F18" s="387">
        <f t="shared" si="7"/>
        <v>1360940</v>
      </c>
      <c r="G18" s="388">
        <f t="shared" si="7"/>
        <v>784168</v>
      </c>
      <c r="H18" s="691">
        <f t="shared" si="7"/>
        <v>400090</v>
      </c>
      <c r="I18" s="389">
        <f t="shared" si="7"/>
        <v>854020</v>
      </c>
      <c r="J18" s="430">
        <f>J19+J20+J21+J22+J23+J24</f>
        <v>10096463</v>
      </c>
      <c r="K18" s="476">
        <f t="shared" si="7"/>
        <v>7464940</v>
      </c>
      <c r="L18" s="476">
        <f>SUM(L19:L24)</f>
        <v>0</v>
      </c>
      <c r="M18" s="389">
        <f>M19+M20+M21+M22+M23+M24</f>
        <v>96972</v>
      </c>
      <c r="N18" s="447">
        <f>N19+N20+N21+N22+N23+N24</f>
        <v>10193435</v>
      </c>
      <c r="O18" s="430">
        <f>O19+O20+O21+O22+O23+O24</f>
        <v>7540940</v>
      </c>
      <c r="P18" s="387">
        <f>P19+P20+P21+P22+P23+P24</f>
        <v>7464940</v>
      </c>
      <c r="Q18" s="388">
        <f>Q19+Q20+Q21+Q22+Q23+Q24</f>
        <v>76000</v>
      </c>
      <c r="R18" s="476"/>
      <c r="S18" s="387">
        <f>SUM(S19:S24)</f>
        <v>292000</v>
      </c>
      <c r="T18" s="388">
        <f>SUM(T19:T24)</f>
        <v>4800</v>
      </c>
      <c r="U18" s="476">
        <f>SUM(U19:U24)</f>
        <v>354710</v>
      </c>
      <c r="V18" s="430"/>
      <c r="W18" s="430">
        <f>SUM(W19:W24)</f>
        <v>45380</v>
      </c>
    </row>
    <row r="19" spans="1:27" x14ac:dyDescent="0.25">
      <c r="A19" s="390" t="s">
        <v>500</v>
      </c>
      <c r="B19" s="546" t="s">
        <v>501</v>
      </c>
      <c r="C19" s="611">
        <f t="shared" ref="C19:C24" si="8">D19+E19</f>
        <v>546963</v>
      </c>
      <c r="D19" s="604">
        <v>479220</v>
      </c>
      <c r="E19" s="660">
        <f>67567+176</f>
        <v>67743</v>
      </c>
      <c r="F19" s="461">
        <v>283000</v>
      </c>
      <c r="G19" s="661">
        <v>73600</v>
      </c>
      <c r="H19" s="391">
        <v>39130</v>
      </c>
      <c r="I19" s="391">
        <v>52650</v>
      </c>
      <c r="J19" s="596">
        <f t="shared" ref="J19:J24" si="9">C19+F19+G19+H19+I19</f>
        <v>995343</v>
      </c>
      <c r="K19" s="591">
        <f t="shared" ref="K19:K24" si="10">D19+F19</f>
        <v>762220</v>
      </c>
      <c r="L19" s="591"/>
      <c r="M19" s="462"/>
      <c r="N19" s="392">
        <f t="shared" ref="N19:N24" si="11">J19+M19</f>
        <v>995343</v>
      </c>
      <c r="O19" s="429">
        <f t="shared" ref="O19:O24" si="12">P19+Q19</f>
        <v>762220</v>
      </c>
      <c r="P19" s="393">
        <f t="shared" ref="P19:P24" si="13">K19</f>
        <v>762220</v>
      </c>
      <c r="Q19" s="394"/>
      <c r="R19" s="607"/>
      <c r="S19" s="393">
        <v>23600</v>
      </c>
      <c r="T19" s="394"/>
      <c r="U19" s="398">
        <f>40900-4900</f>
        <v>36000</v>
      </c>
      <c r="V19" s="429"/>
      <c r="W19" s="477">
        <v>3130</v>
      </c>
    </row>
    <row r="20" spans="1:27" x14ac:dyDescent="0.25">
      <c r="A20" s="395" t="s">
        <v>502</v>
      </c>
      <c r="B20" s="547" t="s">
        <v>503</v>
      </c>
      <c r="C20" s="457">
        <f t="shared" si="8"/>
        <v>1082478</v>
      </c>
      <c r="D20" s="396">
        <v>1015820</v>
      </c>
      <c r="E20" s="662">
        <f>66414+244</f>
        <v>66658</v>
      </c>
      <c r="F20" s="457">
        <v>151400</v>
      </c>
      <c r="G20" s="662">
        <v>62600</v>
      </c>
      <c r="H20" s="396">
        <v>56105</v>
      </c>
      <c r="I20" s="391">
        <v>136070</v>
      </c>
      <c r="J20" s="596">
        <f t="shared" si="9"/>
        <v>1488653</v>
      </c>
      <c r="K20" s="588">
        <f t="shared" si="10"/>
        <v>1167220</v>
      </c>
      <c r="L20" s="588"/>
      <c r="M20" s="458">
        <v>14600</v>
      </c>
      <c r="N20" s="392">
        <f t="shared" si="11"/>
        <v>1503253</v>
      </c>
      <c r="O20" s="427">
        <f t="shared" si="12"/>
        <v>1167220</v>
      </c>
      <c r="P20" s="397">
        <f t="shared" si="13"/>
        <v>1167220</v>
      </c>
      <c r="Q20" s="394"/>
      <c r="R20" s="607"/>
      <c r="S20" s="397">
        <v>37200</v>
      </c>
      <c r="T20" s="398"/>
      <c r="U20" s="398">
        <v>46900</v>
      </c>
      <c r="V20" s="427"/>
      <c r="W20" s="477">
        <v>9205</v>
      </c>
    </row>
    <row r="21" spans="1:27" x14ac:dyDescent="0.25">
      <c r="A21" s="395" t="s">
        <v>504</v>
      </c>
      <c r="B21" s="547" t="s">
        <v>505</v>
      </c>
      <c r="C21" s="457">
        <f t="shared" si="8"/>
        <v>1692440</v>
      </c>
      <c r="D21" s="396">
        <v>1547680</v>
      </c>
      <c r="E21" s="662">
        <f>145179-419</f>
        <v>144760</v>
      </c>
      <c r="F21" s="457">
        <v>372000</v>
      </c>
      <c r="G21" s="662">
        <f>211100+2340-4299</f>
        <v>209141</v>
      </c>
      <c r="H21" s="396">
        <v>152425</v>
      </c>
      <c r="I21" s="391">
        <v>240000</v>
      </c>
      <c r="J21" s="596">
        <f t="shared" si="9"/>
        <v>2666006</v>
      </c>
      <c r="K21" s="588">
        <f t="shared" si="10"/>
        <v>1919680</v>
      </c>
      <c r="L21" s="588"/>
      <c r="M21" s="458">
        <v>4299</v>
      </c>
      <c r="N21" s="392">
        <f t="shared" si="11"/>
        <v>2670305</v>
      </c>
      <c r="O21" s="427">
        <f t="shared" si="12"/>
        <v>1919680</v>
      </c>
      <c r="P21" s="397">
        <f t="shared" si="13"/>
        <v>1919680</v>
      </c>
      <c r="Q21" s="394"/>
      <c r="R21" s="607"/>
      <c r="S21" s="397">
        <v>86100</v>
      </c>
      <c r="T21" s="398"/>
      <c r="U21" s="398">
        <f>186000-56000</f>
        <v>130000</v>
      </c>
      <c r="V21" s="427"/>
      <c r="W21" s="477">
        <v>22425</v>
      </c>
    </row>
    <row r="22" spans="1:27" x14ac:dyDescent="0.25">
      <c r="A22" s="395" t="s">
        <v>506</v>
      </c>
      <c r="B22" s="547" t="s">
        <v>507</v>
      </c>
      <c r="C22" s="457">
        <f t="shared" si="8"/>
        <v>1476924</v>
      </c>
      <c r="D22" s="396">
        <v>1338520</v>
      </c>
      <c r="E22" s="662">
        <f>138046+358</f>
        <v>138404</v>
      </c>
      <c r="F22" s="457">
        <v>234450</v>
      </c>
      <c r="G22" s="662">
        <f>246300-2073</f>
        <v>244227</v>
      </c>
      <c r="H22" s="396">
        <v>66480</v>
      </c>
      <c r="I22" s="391">
        <v>212650</v>
      </c>
      <c r="J22" s="596">
        <f t="shared" si="9"/>
        <v>2234731</v>
      </c>
      <c r="K22" s="588">
        <f t="shared" si="10"/>
        <v>1572970</v>
      </c>
      <c r="L22" s="588"/>
      <c r="M22" s="458">
        <v>2073</v>
      </c>
      <c r="N22" s="392">
        <f t="shared" si="11"/>
        <v>2236804</v>
      </c>
      <c r="O22" s="427">
        <f t="shared" si="12"/>
        <v>1572970</v>
      </c>
      <c r="P22" s="397">
        <f t="shared" si="13"/>
        <v>1572970</v>
      </c>
      <c r="Q22" s="394"/>
      <c r="R22" s="607"/>
      <c r="S22" s="397">
        <v>91500</v>
      </c>
      <c r="T22" s="398">
        <v>4800</v>
      </c>
      <c r="U22" s="398">
        <v>61780</v>
      </c>
      <c r="V22" s="427"/>
      <c r="W22" s="477">
        <v>4700</v>
      </c>
    </row>
    <row r="23" spans="1:27" x14ac:dyDescent="0.25">
      <c r="A23" s="395" t="s">
        <v>508</v>
      </c>
      <c r="B23" s="547" t="s">
        <v>509</v>
      </c>
      <c r="C23" s="457">
        <f t="shared" si="8"/>
        <v>1245168</v>
      </c>
      <c r="D23" s="396">
        <v>1119320</v>
      </c>
      <c r="E23" s="662">
        <f>124899+949</f>
        <v>125848</v>
      </c>
      <c r="F23" s="457">
        <v>199120</v>
      </c>
      <c r="G23" s="662">
        <v>159600</v>
      </c>
      <c r="H23" s="396">
        <v>85950</v>
      </c>
      <c r="I23" s="391">
        <v>157850</v>
      </c>
      <c r="J23" s="596">
        <f t="shared" si="9"/>
        <v>1847688</v>
      </c>
      <c r="K23" s="588">
        <f t="shared" si="10"/>
        <v>1318440</v>
      </c>
      <c r="L23" s="588"/>
      <c r="M23" s="458">
        <v>76000</v>
      </c>
      <c r="N23" s="392">
        <f t="shared" si="11"/>
        <v>1923688</v>
      </c>
      <c r="O23" s="427">
        <f t="shared" si="12"/>
        <v>1394440</v>
      </c>
      <c r="P23" s="397">
        <f t="shared" si="13"/>
        <v>1318440</v>
      </c>
      <c r="Q23" s="398">
        <v>76000</v>
      </c>
      <c r="R23" s="477"/>
      <c r="S23" s="397">
        <v>38600</v>
      </c>
      <c r="T23" s="398"/>
      <c r="U23" s="398">
        <v>80030</v>
      </c>
      <c r="V23" s="427"/>
      <c r="W23" s="477">
        <v>5920</v>
      </c>
      <c r="AA23" s="1"/>
    </row>
    <row r="24" spans="1:27" ht="15.75" thickBot="1" x14ac:dyDescent="0.3">
      <c r="A24" s="399" t="s">
        <v>510</v>
      </c>
      <c r="B24" s="548" t="s">
        <v>511</v>
      </c>
      <c r="C24" s="612">
        <f t="shared" si="8"/>
        <v>653272</v>
      </c>
      <c r="D24" s="578">
        <v>603440</v>
      </c>
      <c r="E24" s="663">
        <f>49911-79</f>
        <v>49832</v>
      </c>
      <c r="F24" s="612">
        <v>120970</v>
      </c>
      <c r="G24" s="663">
        <v>35000</v>
      </c>
      <c r="H24" s="400"/>
      <c r="I24" s="664">
        <v>54800</v>
      </c>
      <c r="J24" s="596">
        <f t="shared" si="9"/>
        <v>864042</v>
      </c>
      <c r="K24" s="589">
        <f t="shared" si="10"/>
        <v>724410</v>
      </c>
      <c r="L24" s="589"/>
      <c r="M24" s="463"/>
      <c r="N24" s="392">
        <f t="shared" si="11"/>
        <v>864042</v>
      </c>
      <c r="O24" s="431">
        <f t="shared" si="12"/>
        <v>724410</v>
      </c>
      <c r="P24" s="384">
        <f t="shared" si="13"/>
        <v>724410</v>
      </c>
      <c r="Q24" s="385"/>
      <c r="R24" s="478"/>
      <c r="S24" s="397">
        <v>15000</v>
      </c>
      <c r="T24" s="398"/>
      <c r="U24" s="398"/>
      <c r="V24" s="471"/>
      <c r="W24" s="429"/>
    </row>
    <row r="25" spans="1:27" ht="15.75" thickBot="1" x14ac:dyDescent="0.3">
      <c r="A25" s="402" t="s">
        <v>512</v>
      </c>
      <c r="B25" s="550" t="s">
        <v>513</v>
      </c>
      <c r="C25" s="387">
        <f>C27+C28</f>
        <v>3174</v>
      </c>
      <c r="D25" s="388"/>
      <c r="E25" s="389">
        <f>E26+E27+E28</f>
        <v>3174</v>
      </c>
      <c r="F25" s="387">
        <f>F26+F27</f>
        <v>1089018</v>
      </c>
      <c r="G25" s="388">
        <f>G26+G27</f>
        <v>152000</v>
      </c>
      <c r="H25" s="691"/>
      <c r="I25" s="389"/>
      <c r="J25" s="430">
        <f>J26+J27+J28</f>
        <v>1244192</v>
      </c>
      <c r="K25" s="476">
        <f>K26+K27</f>
        <v>1089018</v>
      </c>
      <c r="L25" s="476">
        <f>SUM(L26:L28)</f>
        <v>0</v>
      </c>
      <c r="M25" s="389">
        <f>M26+M27</f>
        <v>0</v>
      </c>
      <c r="N25" s="447">
        <f>N26+N27+N28</f>
        <v>1244192</v>
      </c>
      <c r="O25" s="430">
        <f>O26+O27</f>
        <v>1089018</v>
      </c>
      <c r="P25" s="387">
        <f>P26+P27</f>
        <v>1089018</v>
      </c>
      <c r="Q25" s="388">
        <f>Q26+Q27</f>
        <v>0</v>
      </c>
      <c r="R25" s="476"/>
      <c r="S25" s="387">
        <f>SUM(S26:S28)</f>
        <v>152000</v>
      </c>
      <c r="T25" s="388">
        <f>SUM(T26:T28)</f>
        <v>0</v>
      </c>
      <c r="U25" s="476">
        <f>SUM(U26:U28)</f>
        <v>0</v>
      </c>
      <c r="V25" s="440"/>
      <c r="W25" s="440">
        <f>SUM(W26:W28)</f>
        <v>0</v>
      </c>
    </row>
    <row r="26" spans="1:27" x14ac:dyDescent="0.25">
      <c r="A26" s="390" t="s">
        <v>514</v>
      </c>
      <c r="B26" s="546" t="s">
        <v>515</v>
      </c>
      <c r="C26" s="611"/>
      <c r="D26" s="604"/>
      <c r="E26" s="606">
        <v>0</v>
      </c>
      <c r="F26" s="611">
        <f>773020-7372</f>
        <v>765648</v>
      </c>
      <c r="G26" s="604">
        <v>80000</v>
      </c>
      <c r="H26" s="656"/>
      <c r="I26" s="462"/>
      <c r="J26" s="596">
        <f>F26+G26</f>
        <v>845648</v>
      </c>
      <c r="K26" s="591">
        <f>F26</f>
        <v>765648</v>
      </c>
      <c r="L26" s="591"/>
      <c r="M26" s="462">
        <v>0</v>
      </c>
      <c r="N26" s="392">
        <f>J26+M26</f>
        <v>845648</v>
      </c>
      <c r="O26" s="429">
        <f>P26+Q26</f>
        <v>765648</v>
      </c>
      <c r="P26" s="393">
        <f>F26</f>
        <v>765648</v>
      </c>
      <c r="Q26" s="394"/>
      <c r="R26" s="607"/>
      <c r="S26" s="393">
        <v>80000</v>
      </c>
      <c r="T26" s="613"/>
      <c r="U26" s="614"/>
      <c r="V26" s="602"/>
      <c r="W26" s="615"/>
    </row>
    <row r="27" spans="1:27" x14ac:dyDescent="0.25">
      <c r="A27" s="395" t="s">
        <v>516</v>
      </c>
      <c r="B27" s="547" t="s">
        <v>517</v>
      </c>
      <c r="C27" s="457">
        <f>E27</f>
        <v>3104</v>
      </c>
      <c r="D27" s="396"/>
      <c r="E27" s="458">
        <v>3104</v>
      </c>
      <c r="F27" s="457">
        <v>323370</v>
      </c>
      <c r="G27" s="396">
        <v>72000</v>
      </c>
      <c r="H27" s="657"/>
      <c r="I27" s="458"/>
      <c r="J27" s="597">
        <f>C27+F27+G27</f>
        <v>398474</v>
      </c>
      <c r="K27" s="588">
        <f>F27</f>
        <v>323370</v>
      </c>
      <c r="L27" s="588"/>
      <c r="M27" s="458"/>
      <c r="N27" s="448">
        <f>J27+M27</f>
        <v>398474</v>
      </c>
      <c r="O27" s="427">
        <f>P27+Q27</f>
        <v>323370</v>
      </c>
      <c r="P27" s="393">
        <f>F27</f>
        <v>323370</v>
      </c>
      <c r="Q27" s="398"/>
      <c r="R27" s="477"/>
      <c r="S27" s="397">
        <v>72000</v>
      </c>
      <c r="T27" s="398"/>
      <c r="U27" s="503"/>
      <c r="V27" s="504"/>
      <c r="W27" s="505"/>
    </row>
    <row r="28" spans="1:27" ht="15.75" thickBot="1" x14ac:dyDescent="0.3">
      <c r="A28" s="390"/>
      <c r="B28" s="546" t="s">
        <v>518</v>
      </c>
      <c r="C28" s="461">
        <f>E28</f>
        <v>70</v>
      </c>
      <c r="D28" s="391"/>
      <c r="E28" s="462">
        <v>70</v>
      </c>
      <c r="F28" s="665"/>
      <c r="G28" s="692"/>
      <c r="H28" s="656"/>
      <c r="I28" s="462"/>
      <c r="J28" s="596">
        <f>C28+F28+G28</f>
        <v>70</v>
      </c>
      <c r="K28" s="591"/>
      <c r="L28" s="591"/>
      <c r="M28" s="462"/>
      <c r="N28" s="392">
        <f>J28+M28</f>
        <v>70</v>
      </c>
      <c r="O28" s="429"/>
      <c r="P28" s="393"/>
      <c r="Q28" s="394"/>
      <c r="R28" s="481"/>
      <c r="S28" s="506"/>
      <c r="T28" s="507"/>
      <c r="U28" s="508"/>
      <c r="V28" s="509"/>
      <c r="W28" s="510"/>
    </row>
    <row r="29" spans="1:27" ht="15.75" thickBot="1" x14ac:dyDescent="0.3">
      <c r="A29" s="403" t="s">
        <v>519</v>
      </c>
      <c r="B29" s="551" t="s">
        <v>520</v>
      </c>
      <c r="C29" s="464"/>
      <c r="D29" s="404"/>
      <c r="E29" s="465">
        <f>E30+E31+E32+E33+E34+E37+E38+E39+E40+E41+E42+E43+E44+E35+E36</f>
        <v>814944</v>
      </c>
      <c r="F29" s="464"/>
      <c r="G29" s="404"/>
      <c r="H29" s="666"/>
      <c r="I29" s="465"/>
      <c r="J29" s="452"/>
      <c r="K29" s="486"/>
      <c r="L29" s="486"/>
      <c r="M29" s="465"/>
      <c r="N29" s="449"/>
      <c r="O29" s="430">
        <f>O30+O31+O32+O33+O34+O37+O38+O39+O40+O41+O42+O43+O44+O35+O36</f>
        <v>814874</v>
      </c>
      <c r="P29" s="387">
        <f>P30+P31+P32+P33+P34+P37+P38+P39+P40+P41+P42+P43+P44+P35+P36</f>
        <v>814874</v>
      </c>
      <c r="Q29" s="405"/>
      <c r="R29" s="482"/>
      <c r="S29" s="511"/>
      <c r="T29" s="512"/>
      <c r="U29" s="513"/>
      <c r="V29" s="514"/>
      <c r="W29" s="498"/>
    </row>
    <row r="30" spans="1:27" x14ac:dyDescent="0.25">
      <c r="A30" s="406"/>
      <c r="B30" s="552" t="s">
        <v>521</v>
      </c>
      <c r="C30" s="461"/>
      <c r="D30" s="391"/>
      <c r="E30" s="616">
        <v>49370</v>
      </c>
      <c r="F30" s="461"/>
      <c r="G30" s="391"/>
      <c r="H30" s="391"/>
      <c r="I30" s="462"/>
      <c r="J30" s="596"/>
      <c r="K30" s="591"/>
      <c r="L30" s="591"/>
      <c r="M30" s="462"/>
      <c r="N30" s="392"/>
      <c r="O30" s="472">
        <f t="shared" ref="O30:O45" si="14">SUM(P30:Q30)</f>
        <v>49370</v>
      </c>
      <c r="P30" s="407">
        <f t="shared" ref="P30:P37" si="15">E30</f>
        <v>49370</v>
      </c>
      <c r="Q30" s="394"/>
      <c r="R30" s="481"/>
      <c r="S30" s="495"/>
      <c r="T30" s="496"/>
      <c r="U30" s="515"/>
      <c r="V30" s="516"/>
      <c r="W30" s="516"/>
    </row>
    <row r="31" spans="1:27" x14ac:dyDescent="0.25">
      <c r="A31" s="408"/>
      <c r="B31" s="553" t="s">
        <v>522</v>
      </c>
      <c r="C31" s="457"/>
      <c r="D31" s="396"/>
      <c r="E31" s="579">
        <v>216850</v>
      </c>
      <c r="F31" s="457"/>
      <c r="G31" s="396"/>
      <c r="H31" s="396"/>
      <c r="I31" s="458"/>
      <c r="J31" s="597"/>
      <c r="K31" s="588"/>
      <c r="L31" s="588"/>
      <c r="M31" s="458"/>
      <c r="N31" s="448"/>
      <c r="O31" s="472">
        <f t="shared" si="14"/>
        <v>216850</v>
      </c>
      <c r="P31" s="407">
        <f t="shared" si="15"/>
        <v>216850</v>
      </c>
      <c r="Q31" s="398"/>
      <c r="R31" s="481"/>
      <c r="S31" s="495"/>
      <c r="T31" s="496"/>
      <c r="U31" s="517"/>
      <c r="V31" s="518"/>
      <c r="W31" s="518"/>
    </row>
    <row r="32" spans="1:27" x14ac:dyDescent="0.25">
      <c r="A32" s="408"/>
      <c r="B32" s="553" t="s">
        <v>523</v>
      </c>
      <c r="C32" s="457"/>
      <c r="D32" s="396"/>
      <c r="E32" s="579">
        <v>42304</v>
      </c>
      <c r="F32" s="457"/>
      <c r="G32" s="396"/>
      <c r="H32" s="396"/>
      <c r="I32" s="458"/>
      <c r="J32" s="597"/>
      <c r="K32" s="588"/>
      <c r="L32" s="588"/>
      <c r="M32" s="458"/>
      <c r="N32" s="448"/>
      <c r="O32" s="472">
        <f t="shared" si="14"/>
        <v>42304</v>
      </c>
      <c r="P32" s="407">
        <f t="shared" si="15"/>
        <v>42304</v>
      </c>
      <c r="Q32" s="398"/>
      <c r="R32" s="481"/>
      <c r="S32" s="495"/>
      <c r="T32" s="496"/>
      <c r="U32" s="517"/>
      <c r="V32" s="518"/>
      <c r="W32" s="518"/>
    </row>
    <row r="33" spans="1:23" x14ac:dyDescent="0.25">
      <c r="A33" s="408"/>
      <c r="B33" s="553" t="s">
        <v>524</v>
      </c>
      <c r="C33" s="457"/>
      <c r="D33" s="396"/>
      <c r="E33" s="579">
        <v>7151</v>
      </c>
      <c r="F33" s="457"/>
      <c r="G33" s="396"/>
      <c r="H33" s="396"/>
      <c r="I33" s="458"/>
      <c r="J33" s="597"/>
      <c r="K33" s="588"/>
      <c r="L33" s="588"/>
      <c r="M33" s="458"/>
      <c r="N33" s="448"/>
      <c r="O33" s="472">
        <f t="shared" si="14"/>
        <v>7151</v>
      </c>
      <c r="P33" s="407">
        <f t="shared" si="15"/>
        <v>7151</v>
      </c>
      <c r="Q33" s="398"/>
      <c r="R33" s="481"/>
      <c r="S33" s="495"/>
      <c r="T33" s="496"/>
      <c r="U33" s="517"/>
      <c r="V33" s="518"/>
      <c r="W33" s="518"/>
    </row>
    <row r="34" spans="1:23" x14ac:dyDescent="0.25">
      <c r="A34" s="408"/>
      <c r="B34" s="553" t="s">
        <v>589</v>
      </c>
      <c r="C34" s="457"/>
      <c r="D34" s="396"/>
      <c r="E34" s="579">
        <v>0</v>
      </c>
      <c r="F34" s="457"/>
      <c r="G34" s="396"/>
      <c r="H34" s="396"/>
      <c r="I34" s="458"/>
      <c r="J34" s="597"/>
      <c r="K34" s="588"/>
      <c r="L34" s="588"/>
      <c r="M34" s="458"/>
      <c r="N34" s="448"/>
      <c r="O34" s="472">
        <f t="shared" si="14"/>
        <v>0</v>
      </c>
      <c r="P34" s="407">
        <f t="shared" si="15"/>
        <v>0</v>
      </c>
      <c r="Q34" s="398"/>
      <c r="R34" s="481"/>
      <c r="S34" s="495"/>
      <c r="T34" s="496"/>
      <c r="U34" s="517"/>
      <c r="V34" s="518"/>
      <c r="W34" s="518"/>
    </row>
    <row r="35" spans="1:23" x14ac:dyDescent="0.25">
      <c r="A35" s="408"/>
      <c r="B35" s="553" t="s">
        <v>637</v>
      </c>
      <c r="C35" s="457"/>
      <c r="D35" s="396"/>
      <c r="E35" s="579">
        <v>0</v>
      </c>
      <c r="F35" s="457"/>
      <c r="G35" s="396"/>
      <c r="H35" s="396"/>
      <c r="I35" s="458"/>
      <c r="J35" s="597"/>
      <c r="K35" s="588"/>
      <c r="L35" s="588"/>
      <c r="M35" s="458"/>
      <c r="N35" s="448"/>
      <c r="O35" s="472">
        <f t="shared" si="14"/>
        <v>0</v>
      </c>
      <c r="P35" s="407">
        <f t="shared" si="15"/>
        <v>0</v>
      </c>
      <c r="Q35" s="398"/>
      <c r="R35" s="481"/>
      <c r="S35" s="495"/>
      <c r="T35" s="496"/>
      <c r="U35" s="517"/>
      <c r="V35" s="518"/>
      <c r="W35" s="518"/>
    </row>
    <row r="36" spans="1:23" x14ac:dyDescent="0.25">
      <c r="A36" s="408"/>
      <c r="B36" s="553" t="s">
        <v>614</v>
      </c>
      <c r="C36" s="457"/>
      <c r="D36" s="396"/>
      <c r="E36" s="579">
        <v>9000</v>
      </c>
      <c r="F36" s="457"/>
      <c r="G36" s="396"/>
      <c r="H36" s="396"/>
      <c r="I36" s="458"/>
      <c r="J36" s="597"/>
      <c r="K36" s="588"/>
      <c r="L36" s="588"/>
      <c r="M36" s="458"/>
      <c r="N36" s="448"/>
      <c r="O36" s="472">
        <f t="shared" si="14"/>
        <v>9000</v>
      </c>
      <c r="P36" s="407">
        <f t="shared" si="15"/>
        <v>9000</v>
      </c>
      <c r="Q36" s="398"/>
      <c r="R36" s="481"/>
      <c r="S36" s="495"/>
      <c r="T36" s="496"/>
      <c r="U36" s="517"/>
      <c r="V36" s="518"/>
      <c r="W36" s="518"/>
    </row>
    <row r="37" spans="1:23" x14ac:dyDescent="0.25">
      <c r="A37" s="408"/>
      <c r="B37" s="553" t="s">
        <v>615</v>
      </c>
      <c r="C37" s="457"/>
      <c r="D37" s="396"/>
      <c r="E37" s="579">
        <v>38580</v>
      </c>
      <c r="F37" s="457"/>
      <c r="G37" s="396"/>
      <c r="H37" s="396"/>
      <c r="I37" s="458"/>
      <c r="J37" s="597"/>
      <c r="K37" s="588"/>
      <c r="L37" s="588"/>
      <c r="M37" s="458"/>
      <c r="N37" s="448"/>
      <c r="O37" s="472">
        <f t="shared" si="14"/>
        <v>38580</v>
      </c>
      <c r="P37" s="407">
        <f t="shared" si="15"/>
        <v>38580</v>
      </c>
      <c r="Q37" s="398"/>
      <c r="R37" s="481"/>
      <c r="S37" s="495"/>
      <c r="T37" s="496"/>
      <c r="U37" s="517"/>
      <c r="V37" s="518"/>
      <c r="W37" s="518"/>
    </row>
    <row r="38" spans="1:23" x14ac:dyDescent="0.25">
      <c r="A38" s="408"/>
      <c r="B38" s="553" t="s">
        <v>525</v>
      </c>
      <c r="C38" s="457"/>
      <c r="D38" s="396"/>
      <c r="E38" s="579">
        <f>1260+100</f>
        <v>1360</v>
      </c>
      <c r="F38" s="457"/>
      <c r="G38" s="396"/>
      <c r="H38" s="396"/>
      <c r="I38" s="458"/>
      <c r="J38" s="597"/>
      <c r="K38" s="588"/>
      <c r="L38" s="588"/>
      <c r="M38" s="458"/>
      <c r="N38" s="448"/>
      <c r="O38" s="472">
        <f t="shared" si="14"/>
        <v>1290</v>
      </c>
      <c r="P38" s="407">
        <f>E38-E28</f>
        <v>1290</v>
      </c>
      <c r="Q38" s="398"/>
      <c r="R38" s="481"/>
      <c r="S38" s="495"/>
      <c r="T38" s="496"/>
      <c r="U38" s="517"/>
      <c r="V38" s="518"/>
      <c r="W38" s="518"/>
    </row>
    <row r="39" spans="1:23" x14ac:dyDescent="0.25">
      <c r="A39" s="408"/>
      <c r="B39" s="553" t="s">
        <v>526</v>
      </c>
      <c r="C39" s="457"/>
      <c r="D39" s="396"/>
      <c r="E39" s="579">
        <v>154116</v>
      </c>
      <c r="F39" s="457"/>
      <c r="G39" s="396"/>
      <c r="H39" s="396"/>
      <c r="I39" s="458"/>
      <c r="J39" s="597"/>
      <c r="K39" s="588"/>
      <c r="L39" s="588"/>
      <c r="M39" s="458"/>
      <c r="N39" s="448"/>
      <c r="O39" s="472">
        <f t="shared" si="14"/>
        <v>154116</v>
      </c>
      <c r="P39" s="407">
        <f t="shared" ref="P39:P44" si="16">E39</f>
        <v>154116</v>
      </c>
      <c r="Q39" s="398"/>
      <c r="R39" s="481"/>
      <c r="S39" s="495"/>
      <c r="T39" s="496"/>
      <c r="U39" s="517"/>
      <c r="V39" s="518"/>
      <c r="W39" s="518"/>
    </row>
    <row r="40" spans="1:23" x14ac:dyDescent="0.25">
      <c r="A40" s="408"/>
      <c r="B40" s="553" t="s">
        <v>527</v>
      </c>
      <c r="C40" s="457"/>
      <c r="D40" s="396"/>
      <c r="E40" s="579">
        <v>17600</v>
      </c>
      <c r="F40" s="457"/>
      <c r="G40" s="396"/>
      <c r="H40" s="396"/>
      <c r="I40" s="458"/>
      <c r="J40" s="597"/>
      <c r="K40" s="588"/>
      <c r="L40" s="588"/>
      <c r="M40" s="458"/>
      <c r="N40" s="448"/>
      <c r="O40" s="472">
        <f t="shared" si="14"/>
        <v>17600</v>
      </c>
      <c r="P40" s="407">
        <f t="shared" si="16"/>
        <v>17600</v>
      </c>
      <c r="Q40" s="398"/>
      <c r="R40" s="481"/>
      <c r="S40" s="495"/>
      <c r="T40" s="496"/>
      <c r="U40" s="517"/>
      <c r="V40" s="518"/>
      <c r="W40" s="518"/>
    </row>
    <row r="41" spans="1:23" x14ac:dyDescent="0.25">
      <c r="A41" s="408"/>
      <c r="B41" s="553" t="s">
        <v>607</v>
      </c>
      <c r="C41" s="457"/>
      <c r="D41" s="396"/>
      <c r="E41" s="579">
        <v>26550</v>
      </c>
      <c r="F41" s="457"/>
      <c r="G41" s="396"/>
      <c r="H41" s="396"/>
      <c r="I41" s="458"/>
      <c r="J41" s="597"/>
      <c r="K41" s="588"/>
      <c r="L41" s="588"/>
      <c r="M41" s="458"/>
      <c r="N41" s="448"/>
      <c r="O41" s="472">
        <f t="shared" si="14"/>
        <v>26550</v>
      </c>
      <c r="P41" s="407">
        <f t="shared" si="16"/>
        <v>26550</v>
      </c>
      <c r="Q41" s="398"/>
      <c r="R41" s="481"/>
      <c r="S41" s="495"/>
      <c r="T41" s="496"/>
      <c r="U41" s="517"/>
      <c r="V41" s="518"/>
      <c r="W41" s="518"/>
    </row>
    <row r="42" spans="1:23" x14ac:dyDescent="0.25">
      <c r="A42" s="409"/>
      <c r="B42" s="553" t="s">
        <v>579</v>
      </c>
      <c r="C42" s="459"/>
      <c r="D42" s="400"/>
      <c r="E42" s="580">
        <f>52050+1229</f>
        <v>53279</v>
      </c>
      <c r="F42" s="459"/>
      <c r="G42" s="400"/>
      <c r="H42" s="400"/>
      <c r="I42" s="463"/>
      <c r="J42" s="598"/>
      <c r="K42" s="589"/>
      <c r="L42" s="589"/>
      <c r="M42" s="463"/>
      <c r="N42" s="450"/>
      <c r="O42" s="472">
        <f t="shared" si="14"/>
        <v>53279</v>
      </c>
      <c r="P42" s="407">
        <f t="shared" si="16"/>
        <v>53279</v>
      </c>
      <c r="Q42" s="398"/>
      <c r="R42" s="481"/>
      <c r="S42" s="495"/>
      <c r="T42" s="496"/>
      <c r="U42" s="517"/>
      <c r="V42" s="518"/>
      <c r="W42" s="518"/>
    </row>
    <row r="43" spans="1:23" x14ac:dyDescent="0.25">
      <c r="A43" s="409"/>
      <c r="B43" s="553" t="s">
        <v>622</v>
      </c>
      <c r="C43" s="459"/>
      <c r="D43" s="400"/>
      <c r="E43" s="580">
        <f>193534+4350</f>
        <v>197884</v>
      </c>
      <c r="F43" s="459"/>
      <c r="G43" s="400"/>
      <c r="H43" s="400"/>
      <c r="I43" s="463"/>
      <c r="J43" s="598"/>
      <c r="K43" s="589"/>
      <c r="L43" s="589"/>
      <c r="M43" s="463"/>
      <c r="N43" s="450"/>
      <c r="O43" s="472">
        <f>SUM(P43:Q43)</f>
        <v>197884</v>
      </c>
      <c r="P43" s="407">
        <f t="shared" si="16"/>
        <v>197884</v>
      </c>
      <c r="Q43" s="398"/>
      <c r="R43" s="481"/>
      <c r="S43" s="495"/>
      <c r="T43" s="496"/>
      <c r="U43" s="517"/>
      <c r="V43" s="518"/>
      <c r="W43" s="518"/>
    </row>
    <row r="44" spans="1:23" ht="15.75" thickBot="1" x14ac:dyDescent="0.3">
      <c r="A44" s="409"/>
      <c r="B44" s="553" t="s">
        <v>528</v>
      </c>
      <c r="C44" s="459"/>
      <c r="D44" s="400"/>
      <c r="E44" s="580">
        <v>900</v>
      </c>
      <c r="F44" s="459"/>
      <c r="G44" s="400"/>
      <c r="H44" s="400"/>
      <c r="I44" s="463"/>
      <c r="J44" s="598"/>
      <c r="K44" s="589"/>
      <c r="L44" s="589"/>
      <c r="M44" s="463"/>
      <c r="N44" s="450"/>
      <c r="O44" s="472">
        <f t="shared" si="14"/>
        <v>900</v>
      </c>
      <c r="P44" s="407">
        <f t="shared" si="16"/>
        <v>900</v>
      </c>
      <c r="Q44" s="385"/>
      <c r="R44" s="481"/>
      <c r="S44" s="495"/>
      <c r="T44" s="496"/>
      <c r="U44" s="517"/>
      <c r="V44" s="518"/>
      <c r="W44" s="518"/>
    </row>
    <row r="45" spans="1:23" ht="15.75" thickBot="1" x14ac:dyDescent="0.3">
      <c r="A45" s="441" t="s">
        <v>529</v>
      </c>
      <c r="B45" s="551" t="s">
        <v>551</v>
      </c>
      <c r="C45" s="464"/>
      <c r="D45" s="404"/>
      <c r="E45" s="465"/>
      <c r="F45" s="464"/>
      <c r="G45" s="404">
        <f>G9+G18+G25</f>
        <v>1193168</v>
      </c>
      <c r="H45" s="404"/>
      <c r="I45" s="465"/>
      <c r="J45" s="452"/>
      <c r="K45" s="486"/>
      <c r="L45" s="486"/>
      <c r="M45" s="465">
        <f>M20+M21+M22</f>
        <v>20972</v>
      </c>
      <c r="N45" s="449">
        <f>M45</f>
        <v>20972</v>
      </c>
      <c r="O45" s="430">
        <f t="shared" si="14"/>
        <v>1214140</v>
      </c>
      <c r="P45" s="387">
        <f>G45</f>
        <v>1193168</v>
      </c>
      <c r="Q45" s="388">
        <f>M45</f>
        <v>20972</v>
      </c>
      <c r="R45" s="483"/>
      <c r="S45" s="495"/>
      <c r="T45" s="496"/>
      <c r="U45" s="517"/>
      <c r="V45" s="518"/>
      <c r="W45" s="518"/>
    </row>
    <row r="46" spans="1:23" ht="15.75" thickBot="1" x14ac:dyDescent="0.3">
      <c r="A46" s="403" t="s">
        <v>530</v>
      </c>
      <c r="B46" s="554" t="s">
        <v>295</v>
      </c>
      <c r="C46" s="464">
        <f>SUM(D46:E46)</f>
        <v>321570</v>
      </c>
      <c r="D46" s="404">
        <f>96000+14352+29516+53722+23876+8070+15775</f>
        <v>241311</v>
      </c>
      <c r="E46" s="465">
        <f>85838-1229-4350</f>
        <v>80259</v>
      </c>
      <c r="F46" s="666"/>
      <c r="G46" s="404">
        <v>55000</v>
      </c>
      <c r="H46" s="404">
        <v>45770</v>
      </c>
      <c r="I46" s="404">
        <f>19000+74650</f>
        <v>93650</v>
      </c>
      <c r="J46" s="452">
        <f>D46+E46+G46+H46+F46+I46</f>
        <v>515990</v>
      </c>
      <c r="K46" s="486"/>
      <c r="L46" s="486"/>
      <c r="M46" s="465">
        <f>21000-3000-13392</f>
        <v>4608</v>
      </c>
      <c r="N46" s="449">
        <f>D46+E46+G46+H46+F46+M46+I46</f>
        <v>520598</v>
      </c>
      <c r="O46" s="430">
        <v>0</v>
      </c>
      <c r="P46" s="387">
        <v>0</v>
      </c>
      <c r="Q46" s="405"/>
      <c r="R46" s="481"/>
      <c r="S46" s="495"/>
      <c r="T46" s="496"/>
      <c r="U46" s="517"/>
      <c r="V46" s="518"/>
      <c r="W46" s="518"/>
    </row>
    <row r="47" spans="1:23" ht="15.75" thickBot="1" x14ac:dyDescent="0.3">
      <c r="A47" s="403" t="s">
        <v>531</v>
      </c>
      <c r="B47" s="554" t="s">
        <v>532</v>
      </c>
      <c r="C47" s="464"/>
      <c r="D47" s="404"/>
      <c r="E47" s="465"/>
      <c r="F47" s="464"/>
      <c r="G47" s="404"/>
      <c r="H47" s="404">
        <f>H9+H18</f>
        <v>611175</v>
      </c>
      <c r="I47" s="465">
        <f>I9+I18</f>
        <v>926760</v>
      </c>
      <c r="J47" s="452"/>
      <c r="K47" s="486"/>
      <c r="L47" s="486"/>
      <c r="M47" s="465"/>
      <c r="N47" s="449"/>
      <c r="O47" s="430">
        <f>P47</f>
        <v>1537935</v>
      </c>
      <c r="P47" s="387">
        <f>H47+I47</f>
        <v>1537935</v>
      </c>
      <c r="Q47" s="405"/>
      <c r="R47" s="484"/>
      <c r="S47" s="495"/>
      <c r="T47" s="496"/>
      <c r="U47" s="517"/>
      <c r="V47" s="518"/>
      <c r="W47" s="518"/>
    </row>
    <row r="48" spans="1:23" ht="15.75" thickBot="1" x14ac:dyDescent="0.3">
      <c r="A48" s="825" t="s">
        <v>597</v>
      </c>
      <c r="B48" s="826"/>
      <c r="C48" s="466">
        <f>C9+C18+C25+C46</f>
        <v>7240514</v>
      </c>
      <c r="D48" s="442">
        <f>D18+D46</f>
        <v>6345311</v>
      </c>
      <c r="E48" s="467">
        <f>E30+E31+E32+E33+E34+E37+E38+E39+E40+E41+E42+E43+E44+E46+E35+E36</f>
        <v>895203</v>
      </c>
      <c r="F48" s="667">
        <f>F9+F18+F25+F8+F46</f>
        <v>4794000</v>
      </c>
      <c r="G48" s="442">
        <f>G9+G18+G25+G46</f>
        <v>1248168</v>
      </c>
      <c r="H48" s="442">
        <f>H9+H18+H46</f>
        <v>656945</v>
      </c>
      <c r="I48" s="442">
        <f>I9+I18+I46</f>
        <v>1020410</v>
      </c>
      <c r="J48" s="599">
        <f>J9+J18+J25+J46+J8</f>
        <v>14960037</v>
      </c>
      <c r="K48" s="592">
        <f>K9+K18+K25</f>
        <v>10892000</v>
      </c>
      <c r="L48" s="592"/>
      <c r="M48" s="467">
        <f>M9+M18+M25+M46</f>
        <v>380278</v>
      </c>
      <c r="N48" s="451">
        <f>N9+N18+N25+N8+N46</f>
        <v>15344024</v>
      </c>
      <c r="O48" s="440">
        <f>O47+O45+O29+O25+O18+O9</f>
        <v>14473769</v>
      </c>
      <c r="P48" s="469">
        <f>P47+P45+P29+P25+P18+P9</f>
        <v>14348405</v>
      </c>
      <c r="Q48" s="470">
        <f>Q9+Q18+Q25+Q45</f>
        <v>125364</v>
      </c>
      <c r="R48" s="485"/>
      <c r="S48" s="464">
        <f>S9+S18+S25</f>
        <v>611000</v>
      </c>
      <c r="T48" s="404">
        <f>T9+T18+T25</f>
        <v>4800</v>
      </c>
      <c r="U48" s="486">
        <f>U25+U18+U9</f>
        <v>554230</v>
      </c>
      <c r="V48" s="452"/>
      <c r="W48" s="486">
        <f>W9+W18+W25</f>
        <v>56945</v>
      </c>
    </row>
    <row r="49" spans="1:24" ht="15.75" thickBot="1" x14ac:dyDescent="0.3">
      <c r="A49" s="799" t="s">
        <v>357</v>
      </c>
      <c r="B49" s="800"/>
      <c r="C49" s="520"/>
      <c r="D49" s="519">
        <v>634620</v>
      </c>
      <c r="E49" s="521"/>
      <c r="F49" s="668">
        <v>100000</v>
      </c>
      <c r="G49" s="519">
        <v>460000</v>
      </c>
      <c r="H49" s="519">
        <v>300885</v>
      </c>
      <c r="I49" s="521"/>
      <c r="J49" s="600"/>
      <c r="K49" s="593"/>
      <c r="L49" s="593"/>
      <c r="M49" s="521">
        <v>10000</v>
      </c>
      <c r="N49" s="522">
        <f>SUM(C49:M49)</f>
        <v>1505505</v>
      </c>
      <c r="O49" s="523">
        <f>SUM(P49:Q49)</f>
        <v>1505505</v>
      </c>
      <c r="P49" s="524">
        <f>D49+F49+G49+H49</f>
        <v>1495505</v>
      </c>
      <c r="Q49" s="525">
        <f>M49</f>
        <v>10000</v>
      </c>
      <c r="R49" s="526"/>
      <c r="S49" s="524">
        <v>470000</v>
      </c>
      <c r="T49" s="527">
        <v>0</v>
      </c>
      <c r="U49" s="528">
        <v>260000</v>
      </c>
      <c r="V49" s="523"/>
      <c r="W49" s="529">
        <v>40885</v>
      </c>
    </row>
    <row r="50" spans="1:24" ht="15.75" thickBot="1" x14ac:dyDescent="0.3">
      <c r="A50" s="799" t="s">
        <v>547</v>
      </c>
      <c r="B50" s="800"/>
      <c r="C50" s="524"/>
      <c r="D50" s="525"/>
      <c r="E50" s="528"/>
      <c r="F50" s="524">
        <v>185000</v>
      </c>
      <c r="G50" s="525">
        <v>17500</v>
      </c>
      <c r="H50" s="525"/>
      <c r="I50" s="528"/>
      <c r="J50" s="523"/>
      <c r="K50" s="529"/>
      <c r="L50" s="593"/>
      <c r="M50" s="521"/>
      <c r="N50" s="522">
        <f>SUM(C50:M50)</f>
        <v>202500</v>
      </c>
      <c r="O50" s="523">
        <f>SUM(P50:Q50)</f>
        <v>202500</v>
      </c>
      <c r="P50" s="524">
        <f>F50+G50</f>
        <v>202500</v>
      </c>
      <c r="Q50" s="525">
        <f>M50</f>
        <v>0</v>
      </c>
      <c r="R50" s="526"/>
      <c r="S50" s="524">
        <v>10000</v>
      </c>
      <c r="T50" s="527">
        <v>7500</v>
      </c>
      <c r="U50" s="528"/>
      <c r="V50" s="523"/>
      <c r="W50" s="529"/>
    </row>
    <row r="51" spans="1:24" s="345" customFormat="1" ht="32.25" customHeight="1" thickBot="1" x14ac:dyDescent="0.3">
      <c r="A51" s="820" t="s">
        <v>548</v>
      </c>
      <c r="B51" s="821"/>
      <c r="C51" s="532">
        <f>C48+C49+C50</f>
        <v>7240514</v>
      </c>
      <c r="D51" s="530">
        <f>D48+D49+D50</f>
        <v>6979931</v>
      </c>
      <c r="E51" s="533">
        <f t="shared" ref="E51:M51" si="17">E48+E49+E50</f>
        <v>895203</v>
      </c>
      <c r="F51" s="532">
        <f t="shared" si="17"/>
        <v>5079000</v>
      </c>
      <c r="G51" s="530">
        <f t="shared" si="17"/>
        <v>1725668</v>
      </c>
      <c r="H51" s="530">
        <f t="shared" si="17"/>
        <v>957830</v>
      </c>
      <c r="I51" s="533">
        <f t="shared" si="17"/>
        <v>1020410</v>
      </c>
      <c r="J51" s="534">
        <f t="shared" si="17"/>
        <v>14960037</v>
      </c>
      <c r="K51" s="584">
        <f t="shared" si="17"/>
        <v>10892000</v>
      </c>
      <c r="L51" s="697"/>
      <c r="M51" s="533">
        <f t="shared" si="17"/>
        <v>390278</v>
      </c>
      <c r="N51" s="535">
        <f>N48+N49+N50</f>
        <v>17052029</v>
      </c>
      <c r="O51" s="534">
        <f>O48+O49+O50</f>
        <v>16181774</v>
      </c>
      <c r="P51" s="532">
        <f>P48+P49+P50</f>
        <v>16046410</v>
      </c>
      <c r="Q51" s="530">
        <f>Q48+Q49+Q50</f>
        <v>135364</v>
      </c>
      <c r="R51" s="531"/>
      <c r="S51" s="743">
        <f>S50+S49+S48+U48+U49+T48+T50+T49</f>
        <v>1917530</v>
      </c>
      <c r="T51" s="744"/>
      <c r="U51" s="745"/>
      <c r="V51" s="534">
        <f>V50</f>
        <v>0</v>
      </c>
      <c r="W51" s="535">
        <f>W48+W49</f>
        <v>97830</v>
      </c>
      <c r="X51" s="536"/>
    </row>
    <row r="52" spans="1:24" s="345" customFormat="1" ht="16.5" thickBot="1" x14ac:dyDescent="0.3">
      <c r="A52" s="748" t="s">
        <v>552</v>
      </c>
      <c r="B52" s="749"/>
      <c r="C52" s="532"/>
      <c r="D52" s="530"/>
      <c r="E52" s="533"/>
      <c r="F52" s="532"/>
      <c r="G52" s="530"/>
      <c r="H52" s="530"/>
      <c r="I52" s="533"/>
      <c r="J52" s="534"/>
      <c r="K52" s="584"/>
      <c r="L52" s="697"/>
      <c r="M52" s="533"/>
      <c r="N52" s="535">
        <f>SUM(C52:M52)</f>
        <v>0</v>
      </c>
      <c r="O52" s="534">
        <f>SUM(P52:R52)</f>
        <v>21695166</v>
      </c>
      <c r="P52" s="532">
        <f>11722532+7372-1229-4350+2220</f>
        <v>11726545</v>
      </c>
      <c r="Q52" s="530">
        <f>4639288-3000-13392-2220</f>
        <v>4620676</v>
      </c>
      <c r="R52" s="531">
        <v>5347945</v>
      </c>
      <c r="S52" s="743">
        <v>25549688</v>
      </c>
      <c r="T52" s="744"/>
      <c r="U52" s="745"/>
      <c r="V52" s="534">
        <v>5536072</v>
      </c>
      <c r="W52" s="535">
        <v>4775820</v>
      </c>
      <c r="X52" s="536"/>
    </row>
    <row r="53" spans="1:24" s="443" customFormat="1" ht="33.75" customHeight="1" thickBot="1" x14ac:dyDescent="0.35">
      <c r="A53" s="737" t="s">
        <v>553</v>
      </c>
      <c r="B53" s="738"/>
      <c r="C53" s="738"/>
      <c r="D53" s="738"/>
      <c r="E53" s="738"/>
      <c r="F53" s="738"/>
      <c r="G53" s="738"/>
      <c r="H53" s="738"/>
      <c r="I53" s="738"/>
      <c r="J53" s="738"/>
      <c r="K53" s="738"/>
      <c r="L53" s="738"/>
      <c r="M53" s="738"/>
      <c r="N53" s="738"/>
      <c r="O53" s="739"/>
      <c r="P53" s="537">
        <f>P51+P52</f>
        <v>27772955</v>
      </c>
      <c r="Q53" s="538">
        <f>Q51+Q52</f>
        <v>4756040</v>
      </c>
      <c r="R53" s="539">
        <f>R51+R52</f>
        <v>5347945</v>
      </c>
      <c r="S53" s="746">
        <f>S51+S52</f>
        <v>27467218</v>
      </c>
      <c r="T53" s="735"/>
      <c r="U53" s="747"/>
      <c r="V53" s="540">
        <f>V51+V52</f>
        <v>5536072</v>
      </c>
      <c r="W53" s="541">
        <f>W51+W52</f>
        <v>4873650</v>
      </c>
      <c r="X53" s="542"/>
    </row>
    <row r="54" spans="1:24" ht="19.5" thickBot="1" x14ac:dyDescent="0.35">
      <c r="A54" s="740"/>
      <c r="B54" s="741"/>
      <c r="C54" s="741"/>
      <c r="D54" s="741"/>
      <c r="E54" s="741"/>
      <c r="F54" s="741"/>
      <c r="G54" s="741"/>
      <c r="H54" s="741"/>
      <c r="I54" s="741"/>
      <c r="J54" s="741"/>
      <c r="K54" s="741"/>
      <c r="L54" s="741"/>
      <c r="M54" s="741"/>
      <c r="N54" s="741"/>
      <c r="O54" s="742"/>
      <c r="P54" s="734">
        <f>SUM(P53:R53)</f>
        <v>37876940</v>
      </c>
      <c r="Q54" s="771"/>
      <c r="R54" s="772"/>
      <c r="S54" s="734">
        <f>SUM(S53:W53)</f>
        <v>37876940</v>
      </c>
      <c r="T54" s="735"/>
      <c r="U54" s="735"/>
      <c r="V54" s="735"/>
      <c r="W54" s="736"/>
    </row>
    <row r="55" spans="1:24" ht="15.75" thickBot="1" x14ac:dyDescent="0.3">
      <c r="P55" s="785">
        <f>S54-P54</f>
        <v>0</v>
      </c>
      <c r="Q55" s="786"/>
      <c r="R55" s="786"/>
      <c r="S55" s="786"/>
      <c r="T55" s="786"/>
      <c r="U55" s="786"/>
      <c r="V55" s="786"/>
      <c r="W55" s="787"/>
    </row>
  </sheetData>
  <mergeCells count="35">
    <mergeCell ref="P55:W55"/>
    <mergeCell ref="A1:W1"/>
    <mergeCell ref="S6:U6"/>
    <mergeCell ref="S2:W4"/>
    <mergeCell ref="A49:B49"/>
    <mergeCell ref="N2:N6"/>
    <mergeCell ref="D4:E4"/>
    <mergeCell ref="F4:F6"/>
    <mergeCell ref="O2:R4"/>
    <mergeCell ref="P5:R5"/>
    <mergeCell ref="C2:K2"/>
    <mergeCell ref="A50:B50"/>
    <mergeCell ref="A51:B51"/>
    <mergeCell ref="M3:M6"/>
    <mergeCell ref="A48:B48"/>
    <mergeCell ref="H4:H6"/>
    <mergeCell ref="L3:L6"/>
    <mergeCell ref="P54:R54"/>
    <mergeCell ref="K4:K6"/>
    <mergeCell ref="D5:D6"/>
    <mergeCell ref="E5:E6"/>
    <mergeCell ref="G4:G6"/>
    <mergeCell ref="I3:I6"/>
    <mergeCell ref="A2:A6"/>
    <mergeCell ref="B2:B6"/>
    <mergeCell ref="C3:E3"/>
    <mergeCell ref="F3:H3"/>
    <mergeCell ref="J3:J6"/>
    <mergeCell ref="C4:C6"/>
    <mergeCell ref="S54:W54"/>
    <mergeCell ref="A53:O54"/>
    <mergeCell ref="S51:U51"/>
    <mergeCell ref="S52:U52"/>
    <mergeCell ref="S53:U53"/>
    <mergeCell ref="A52:B52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2022-02-08T08:13:09Z</cp:lastPrinted>
  <dcterms:created xsi:type="dcterms:W3CDTF">2013-01-26T12:47:58Z</dcterms:created>
  <dcterms:modified xsi:type="dcterms:W3CDTF">2024-08-02T12:57:30Z</dcterms:modified>
</cp:coreProperties>
</file>